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zadania i plan płatności" sheetId="1" r:id="rId1"/>
    <sheet name="wykres Gantta" sheetId="2" r:id="rId2"/>
    <sheet name="ZUK Gizycko" sheetId="3" r:id="rId3"/>
    <sheet name="MEC Mrągowo" sheetId="4" r:id="rId4"/>
    <sheet name="ZUK Orzysz" sheetId="5" r:id="rId5"/>
    <sheet name="ZUK Węgorzewo" sheetId="7" r:id="rId6"/>
  </sheets>
  <calcPr calcId="145621"/>
</workbook>
</file>

<file path=xl/calcChain.xml><?xml version="1.0" encoding="utf-8"?>
<calcChain xmlns="http://schemas.openxmlformats.org/spreadsheetml/2006/main">
  <c r="B77" i="1" l="1"/>
  <c r="D87" i="1" s="1"/>
  <c r="B75" i="1"/>
  <c r="D88" i="1" s="1"/>
  <c r="B76" i="1"/>
  <c r="D89" i="1" s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E76" i="1"/>
  <c r="I30" i="4"/>
  <c r="S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C74" i="1"/>
  <c r="D90" i="1" l="1"/>
  <c r="O8" i="4" l="1"/>
  <c r="O7" i="4"/>
  <c r="E38" i="1"/>
  <c r="G38" i="1"/>
  <c r="H26" i="1"/>
  <c r="K28" i="1"/>
  <c r="E27" i="1"/>
  <c r="I29" i="1"/>
  <c r="I28" i="1" s="1"/>
  <c r="B17" i="1" l="1"/>
  <c r="B25" i="1" l="1"/>
  <c r="N6" i="7" l="1"/>
  <c r="K6" i="7"/>
  <c r="O6" i="7" s="1"/>
  <c r="J6" i="7"/>
  <c r="E6" i="7"/>
  <c r="F6" i="7" s="1"/>
  <c r="L6" i="7" s="1"/>
  <c r="N7" i="5"/>
  <c r="M7" i="5"/>
  <c r="J7" i="5"/>
  <c r="E7" i="5"/>
  <c r="F7" i="5" s="1"/>
  <c r="L7" i="5" s="1"/>
  <c r="O6" i="4"/>
  <c r="L6" i="4"/>
  <c r="N6" i="4" s="1"/>
  <c r="F6" i="4"/>
  <c r="J6" i="4"/>
  <c r="D6" i="4"/>
  <c r="J6" i="3"/>
  <c r="I6" i="3"/>
  <c r="N6" i="3"/>
  <c r="M6" i="3"/>
  <c r="E6" i="3"/>
  <c r="K6" i="3" s="1"/>
  <c r="D6" i="3"/>
  <c r="B38" i="1"/>
  <c r="G11" i="4" s="1"/>
  <c r="I59" i="1"/>
  <c r="E26" i="1"/>
  <c r="F26" i="1" s="1"/>
  <c r="G25" i="1"/>
  <c r="F25" i="1"/>
  <c r="C24" i="1"/>
  <c r="C48" i="1" s="1"/>
  <c r="D26" i="1"/>
  <c r="B65" i="1" l="1"/>
  <c r="B53" i="1"/>
  <c r="B4" i="1"/>
  <c r="E24" i="1"/>
  <c r="F24" i="1" s="1"/>
  <c r="B11" i="1"/>
  <c r="M6" i="4"/>
  <c r="K7" i="5"/>
  <c r="O7" i="5" s="1"/>
  <c r="H28" i="7"/>
  <c r="I28" i="7" s="1"/>
  <c r="J28" i="7" s="1"/>
  <c r="K28" i="7" s="1"/>
  <c r="L28" i="7" s="1"/>
  <c r="M28" i="7" s="1"/>
  <c r="N28" i="7" s="1"/>
  <c r="O28" i="7" s="1"/>
  <c r="P28" i="7" s="1"/>
  <c r="Q28" i="7" s="1"/>
  <c r="R28" i="7" s="1"/>
  <c r="S28" i="7" s="1"/>
  <c r="T28" i="7" s="1"/>
  <c r="U28" i="7" s="1"/>
  <c r="V28" i="7" s="1"/>
  <c r="W28" i="7" s="1"/>
  <c r="G28" i="7"/>
  <c r="I30" i="7"/>
  <c r="H22" i="7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H23" i="7"/>
  <c r="H21" i="7" s="1"/>
  <c r="H24" i="7"/>
  <c r="I24" i="7" s="1"/>
  <c r="J24" i="7" s="1"/>
  <c r="K24" i="7" s="1"/>
  <c r="L24" i="7" s="1"/>
  <c r="M24" i="7" s="1"/>
  <c r="N24" i="7" s="1"/>
  <c r="O24" i="7" s="1"/>
  <c r="P24" i="7" s="1"/>
  <c r="Q24" i="7" s="1"/>
  <c r="R24" i="7" s="1"/>
  <c r="S24" i="7" s="1"/>
  <c r="T24" i="7" s="1"/>
  <c r="U24" i="7" s="1"/>
  <c r="V24" i="7" s="1"/>
  <c r="W24" i="7" s="1"/>
  <c r="H25" i="7"/>
  <c r="I25" i="7" s="1"/>
  <c r="J25" i="7" s="1"/>
  <c r="K25" i="7" s="1"/>
  <c r="L25" i="7" s="1"/>
  <c r="M25" i="7" s="1"/>
  <c r="N25" i="7" s="1"/>
  <c r="O25" i="7" s="1"/>
  <c r="P25" i="7" s="1"/>
  <c r="Q25" i="7" s="1"/>
  <c r="R25" i="7" s="1"/>
  <c r="S25" i="7" s="1"/>
  <c r="T25" i="7" s="1"/>
  <c r="U25" i="7" s="1"/>
  <c r="V25" i="7" s="1"/>
  <c r="W25" i="7" s="1"/>
  <c r="H26" i="7"/>
  <c r="I26" i="7" s="1"/>
  <c r="J26" i="7" s="1"/>
  <c r="K26" i="7" s="1"/>
  <c r="L26" i="7" s="1"/>
  <c r="M26" i="7" s="1"/>
  <c r="N26" i="7" s="1"/>
  <c r="O26" i="7" s="1"/>
  <c r="P26" i="7" s="1"/>
  <c r="Q26" i="7" s="1"/>
  <c r="R26" i="7" s="1"/>
  <c r="S26" i="7" s="1"/>
  <c r="T26" i="7" s="1"/>
  <c r="U26" i="7" s="1"/>
  <c r="V26" i="7" s="1"/>
  <c r="W26" i="7" s="1"/>
  <c r="H30" i="7"/>
  <c r="J30" i="7" s="1"/>
  <c r="K30" i="7" s="1"/>
  <c r="L30" i="7" s="1"/>
  <c r="M30" i="7" s="1"/>
  <c r="N30" i="7" s="1"/>
  <c r="O30" i="7" s="1"/>
  <c r="P30" i="7" s="1"/>
  <c r="Q30" i="7" s="1"/>
  <c r="R30" i="7" s="1"/>
  <c r="S30" i="7" s="1"/>
  <c r="T30" i="7" s="1"/>
  <c r="U30" i="7" s="1"/>
  <c r="V30" i="7" s="1"/>
  <c r="W30" i="7" s="1"/>
  <c r="H31" i="7"/>
  <c r="I31" i="7" s="1"/>
  <c r="J31" i="7" s="1"/>
  <c r="K31" i="7" s="1"/>
  <c r="L31" i="7" s="1"/>
  <c r="M31" i="7" s="1"/>
  <c r="N31" i="7" s="1"/>
  <c r="O31" i="7" s="1"/>
  <c r="P31" i="7" s="1"/>
  <c r="Q31" i="7" s="1"/>
  <c r="R31" i="7" s="1"/>
  <c r="S31" i="7" s="1"/>
  <c r="T31" i="7" s="1"/>
  <c r="U31" i="7" s="1"/>
  <c r="V31" i="7" s="1"/>
  <c r="W31" i="7" s="1"/>
  <c r="H32" i="7"/>
  <c r="I32" i="7"/>
  <c r="J32" i="7" s="1"/>
  <c r="H33" i="7"/>
  <c r="I33" i="7"/>
  <c r="J33" i="7" s="1"/>
  <c r="K33" i="7" s="1"/>
  <c r="L33" i="7" s="1"/>
  <c r="M33" i="7" s="1"/>
  <c r="N33" i="7" s="1"/>
  <c r="O33" i="7" s="1"/>
  <c r="P33" i="7" s="1"/>
  <c r="Q33" i="7" s="1"/>
  <c r="R33" i="7" s="1"/>
  <c r="S33" i="7" s="1"/>
  <c r="T33" i="7" s="1"/>
  <c r="U33" i="7" s="1"/>
  <c r="V33" i="7" s="1"/>
  <c r="W33" i="7" s="1"/>
  <c r="H34" i="7"/>
  <c r="I34" i="7"/>
  <c r="J34" i="7" s="1"/>
  <c r="K34" i="7" s="1"/>
  <c r="L34" i="7" s="1"/>
  <c r="M34" i="7" s="1"/>
  <c r="N34" i="7" s="1"/>
  <c r="O34" i="7" s="1"/>
  <c r="P34" i="7" s="1"/>
  <c r="Q34" i="7" s="1"/>
  <c r="R34" i="7" s="1"/>
  <c r="S34" i="7" s="1"/>
  <c r="T34" i="7" s="1"/>
  <c r="U34" i="7" s="1"/>
  <c r="V34" i="7" s="1"/>
  <c r="W34" i="7" s="1"/>
  <c r="H35" i="7"/>
  <c r="I35" i="7"/>
  <c r="J35" i="7" s="1"/>
  <c r="K35" i="7" s="1"/>
  <c r="L35" i="7" s="1"/>
  <c r="M35" i="7" s="1"/>
  <c r="N35" i="7" s="1"/>
  <c r="O35" i="7" s="1"/>
  <c r="P35" i="7" s="1"/>
  <c r="Q35" i="7" s="1"/>
  <c r="R35" i="7" s="1"/>
  <c r="S35" i="7" s="1"/>
  <c r="T35" i="7" s="1"/>
  <c r="U35" i="7" s="1"/>
  <c r="V35" i="7" s="1"/>
  <c r="W35" i="7" s="1"/>
  <c r="H36" i="7"/>
  <c r="I36" i="7"/>
  <c r="J36" i="7" s="1"/>
  <c r="K36" i="7" s="1"/>
  <c r="L36" i="7" s="1"/>
  <c r="M36" i="7" s="1"/>
  <c r="N36" i="7" s="1"/>
  <c r="O36" i="7" s="1"/>
  <c r="P36" i="7" s="1"/>
  <c r="Q36" i="7" s="1"/>
  <c r="R36" i="7" s="1"/>
  <c r="S36" i="7" s="1"/>
  <c r="T36" i="7" s="1"/>
  <c r="U36" i="7" s="1"/>
  <c r="V36" i="7" s="1"/>
  <c r="W36" i="7" s="1"/>
  <c r="H39" i="7"/>
  <c r="I39" i="7"/>
  <c r="H41" i="7"/>
  <c r="I41" i="7"/>
  <c r="J41" i="7" s="1"/>
  <c r="K41" i="7" s="1"/>
  <c r="L41" i="7" s="1"/>
  <c r="M41" i="7" s="1"/>
  <c r="N41" i="7" s="1"/>
  <c r="O41" i="7" s="1"/>
  <c r="P41" i="7" s="1"/>
  <c r="Q41" i="7" s="1"/>
  <c r="R41" i="7" s="1"/>
  <c r="S41" i="7" s="1"/>
  <c r="T41" i="7" s="1"/>
  <c r="U41" i="7" s="1"/>
  <c r="V41" i="7" s="1"/>
  <c r="W41" i="7" s="1"/>
  <c r="H43" i="7"/>
  <c r="H42" i="7" s="1"/>
  <c r="I43" i="7"/>
  <c r="H44" i="7"/>
  <c r="I44" i="7"/>
  <c r="J44" i="7" s="1"/>
  <c r="K44" i="7" s="1"/>
  <c r="L44" i="7" s="1"/>
  <c r="M44" i="7" s="1"/>
  <c r="N44" i="7" s="1"/>
  <c r="O44" i="7" s="1"/>
  <c r="P44" i="7" s="1"/>
  <c r="Q44" i="7" s="1"/>
  <c r="R44" i="7" s="1"/>
  <c r="S44" i="7" s="1"/>
  <c r="T44" i="7" s="1"/>
  <c r="U44" i="7" s="1"/>
  <c r="V44" i="7" s="1"/>
  <c r="W44" i="7" s="1"/>
  <c r="H45" i="7"/>
  <c r="I45" i="7"/>
  <c r="J45" i="7" s="1"/>
  <c r="K45" i="7" s="1"/>
  <c r="L45" i="7" s="1"/>
  <c r="M45" i="7" s="1"/>
  <c r="N45" i="7" s="1"/>
  <c r="O45" i="7" s="1"/>
  <c r="P45" i="7" s="1"/>
  <c r="Q45" i="7" s="1"/>
  <c r="R45" i="7" s="1"/>
  <c r="S45" i="7" s="1"/>
  <c r="T45" i="7" s="1"/>
  <c r="U45" i="7" s="1"/>
  <c r="V45" i="7" s="1"/>
  <c r="W45" i="7" s="1"/>
  <c r="H48" i="7"/>
  <c r="H47" i="7" s="1"/>
  <c r="I48" i="7"/>
  <c r="H49" i="7"/>
  <c r="I49" i="7"/>
  <c r="J49" i="7" s="1"/>
  <c r="K49" i="7"/>
  <c r="L49" i="7" s="1"/>
  <c r="M49" i="7" s="1"/>
  <c r="N49" i="7" s="1"/>
  <c r="O49" i="7" s="1"/>
  <c r="P49" i="7" s="1"/>
  <c r="Q49" i="7" s="1"/>
  <c r="R49" i="7" s="1"/>
  <c r="S49" i="7" s="1"/>
  <c r="T49" i="7" s="1"/>
  <c r="U49" i="7" s="1"/>
  <c r="V49" i="7" s="1"/>
  <c r="W49" i="7" s="1"/>
  <c r="H50" i="7"/>
  <c r="I50" i="7"/>
  <c r="J50" i="7" s="1"/>
  <c r="K50" i="7" s="1"/>
  <c r="L50" i="7" s="1"/>
  <c r="M50" i="7" s="1"/>
  <c r="N50" i="7" s="1"/>
  <c r="O50" i="7" s="1"/>
  <c r="P50" i="7" s="1"/>
  <c r="Q50" i="7" s="1"/>
  <c r="R50" i="7" s="1"/>
  <c r="S50" i="7" s="1"/>
  <c r="T50" i="7" s="1"/>
  <c r="U50" i="7" s="1"/>
  <c r="V50" i="7" s="1"/>
  <c r="W50" i="7" s="1"/>
  <c r="H51" i="7"/>
  <c r="I51" i="7"/>
  <c r="J51" i="7" s="1"/>
  <c r="K51" i="7"/>
  <c r="L51" i="7" s="1"/>
  <c r="M51" i="7" s="1"/>
  <c r="N51" i="7" s="1"/>
  <c r="O51" i="7" s="1"/>
  <c r="P51" i="7" s="1"/>
  <c r="Q51" i="7" s="1"/>
  <c r="R51" i="7" s="1"/>
  <c r="S51" i="7" s="1"/>
  <c r="T51" i="7" s="1"/>
  <c r="U51" i="7" s="1"/>
  <c r="V51" i="7" s="1"/>
  <c r="W51" i="7" s="1"/>
  <c r="H52" i="7"/>
  <c r="I52" i="7"/>
  <c r="J52" i="7" s="1"/>
  <c r="K52" i="7" s="1"/>
  <c r="L52" i="7" s="1"/>
  <c r="M52" i="7" s="1"/>
  <c r="N52" i="7" s="1"/>
  <c r="O52" i="7" s="1"/>
  <c r="P52" i="7" s="1"/>
  <c r="Q52" i="7" s="1"/>
  <c r="R52" i="7" s="1"/>
  <c r="S52" i="7" s="1"/>
  <c r="T52" i="7" s="1"/>
  <c r="U52" i="7" s="1"/>
  <c r="V52" i="7" s="1"/>
  <c r="W52" i="7" s="1"/>
  <c r="H53" i="7"/>
  <c r="I53" i="7"/>
  <c r="J53" i="7" s="1"/>
  <c r="K53" i="7"/>
  <c r="L53" i="7" s="1"/>
  <c r="M53" i="7" s="1"/>
  <c r="N53" i="7" s="1"/>
  <c r="O53" i="7" s="1"/>
  <c r="P53" i="7" s="1"/>
  <c r="Q53" i="7" s="1"/>
  <c r="R53" i="7" s="1"/>
  <c r="S53" i="7" s="1"/>
  <c r="T53" i="7" s="1"/>
  <c r="U53" i="7" s="1"/>
  <c r="V53" i="7" s="1"/>
  <c r="W53" i="7" s="1"/>
  <c r="H54" i="7"/>
  <c r="I54" i="7"/>
  <c r="J54" i="7" s="1"/>
  <c r="K54" i="7" s="1"/>
  <c r="L54" i="7" s="1"/>
  <c r="M54" i="7" s="1"/>
  <c r="N54" i="7" s="1"/>
  <c r="O54" i="7" s="1"/>
  <c r="P54" i="7" s="1"/>
  <c r="Q54" i="7" s="1"/>
  <c r="R54" i="7" s="1"/>
  <c r="S54" i="7" s="1"/>
  <c r="T54" i="7" s="1"/>
  <c r="U54" i="7" s="1"/>
  <c r="V54" i="7" s="1"/>
  <c r="W54" i="7" s="1"/>
  <c r="H56" i="7"/>
  <c r="H55" i="7" s="1"/>
  <c r="I56" i="7"/>
  <c r="J56" i="7" s="1"/>
  <c r="K56" i="7"/>
  <c r="L56" i="7" s="1"/>
  <c r="M56" i="7" s="1"/>
  <c r="H57" i="7"/>
  <c r="I57" i="7"/>
  <c r="J57" i="7" s="1"/>
  <c r="K57" i="7" s="1"/>
  <c r="L57" i="7" s="1"/>
  <c r="M57" i="7" s="1"/>
  <c r="N57" i="7" s="1"/>
  <c r="O57" i="7" s="1"/>
  <c r="P57" i="7" s="1"/>
  <c r="Q57" i="7" s="1"/>
  <c r="R57" i="7" s="1"/>
  <c r="S57" i="7" s="1"/>
  <c r="T57" i="7" s="1"/>
  <c r="U57" i="7" s="1"/>
  <c r="V57" i="7" s="1"/>
  <c r="W57" i="7" s="1"/>
  <c r="H58" i="7"/>
  <c r="I58" i="7"/>
  <c r="J58" i="7" s="1"/>
  <c r="K58" i="7"/>
  <c r="L58" i="7" s="1"/>
  <c r="M58" i="7" s="1"/>
  <c r="N58" i="7" s="1"/>
  <c r="O58" i="7" s="1"/>
  <c r="P58" i="7" s="1"/>
  <c r="Q58" i="7" s="1"/>
  <c r="R58" i="7" s="1"/>
  <c r="S58" i="7" s="1"/>
  <c r="T58" i="7" s="1"/>
  <c r="U58" i="7" s="1"/>
  <c r="V58" i="7" s="1"/>
  <c r="W58" i="7" s="1"/>
  <c r="H59" i="7"/>
  <c r="I59" i="7"/>
  <c r="J59" i="7" s="1"/>
  <c r="K59" i="7" s="1"/>
  <c r="L59" i="7" s="1"/>
  <c r="M59" i="7" s="1"/>
  <c r="N59" i="7" s="1"/>
  <c r="O59" i="7" s="1"/>
  <c r="P59" i="7" s="1"/>
  <c r="Q59" i="7" s="1"/>
  <c r="R59" i="7" s="1"/>
  <c r="S59" i="7" s="1"/>
  <c r="T59" i="7" s="1"/>
  <c r="U59" i="7" s="1"/>
  <c r="V59" i="7" s="1"/>
  <c r="W59" i="7" s="1"/>
  <c r="H60" i="7"/>
  <c r="I60" i="7"/>
  <c r="J60" i="7" s="1"/>
  <c r="K60" i="7"/>
  <c r="L60" i="7" s="1"/>
  <c r="M60" i="7" s="1"/>
  <c r="N60" i="7" s="1"/>
  <c r="O60" i="7" s="1"/>
  <c r="P60" i="7" s="1"/>
  <c r="Q60" i="7" s="1"/>
  <c r="R60" i="7" s="1"/>
  <c r="S60" i="7" s="1"/>
  <c r="T60" i="7" s="1"/>
  <c r="U60" i="7" s="1"/>
  <c r="V60" i="7" s="1"/>
  <c r="W60" i="7" s="1"/>
  <c r="H63" i="7"/>
  <c r="H62" i="7" s="1"/>
  <c r="I63" i="7"/>
  <c r="J63" i="7" s="1"/>
  <c r="J62" i="7" s="1"/>
  <c r="H64" i="7"/>
  <c r="I64" i="7"/>
  <c r="J64" i="7" s="1"/>
  <c r="K64" i="7"/>
  <c r="L64" i="7" s="1"/>
  <c r="M64" i="7" s="1"/>
  <c r="N64" i="7" s="1"/>
  <c r="O64" i="7" s="1"/>
  <c r="P64" i="7" s="1"/>
  <c r="Q64" i="7" s="1"/>
  <c r="R64" i="7" s="1"/>
  <c r="S64" i="7" s="1"/>
  <c r="T64" i="7" s="1"/>
  <c r="U64" i="7" s="1"/>
  <c r="V64" i="7" s="1"/>
  <c r="W64" i="7" s="1"/>
  <c r="H66" i="7"/>
  <c r="I66" i="7"/>
  <c r="J66" i="7" s="1"/>
  <c r="K66" i="7" s="1"/>
  <c r="L66" i="7" s="1"/>
  <c r="M66" i="7" s="1"/>
  <c r="N66" i="7" s="1"/>
  <c r="O66" i="7" s="1"/>
  <c r="P66" i="7" s="1"/>
  <c r="Q66" i="7" s="1"/>
  <c r="R66" i="7" s="1"/>
  <c r="S66" i="7" s="1"/>
  <c r="T66" i="7" s="1"/>
  <c r="U66" i="7" s="1"/>
  <c r="V66" i="7" s="1"/>
  <c r="W66" i="7" s="1"/>
  <c r="H67" i="7"/>
  <c r="I67" i="7" s="1"/>
  <c r="J67" i="7" s="1"/>
  <c r="K67" i="7" s="1"/>
  <c r="L67" i="7" s="1"/>
  <c r="M67" i="7" s="1"/>
  <c r="N67" i="7" s="1"/>
  <c r="O67" i="7" s="1"/>
  <c r="P67" i="7" s="1"/>
  <c r="Q67" i="7" s="1"/>
  <c r="R67" i="7" s="1"/>
  <c r="S67" i="7" s="1"/>
  <c r="T67" i="7" s="1"/>
  <c r="U67" i="7" s="1"/>
  <c r="V67" i="7" s="1"/>
  <c r="W67" i="7" s="1"/>
  <c r="G62" i="7"/>
  <c r="G55" i="7"/>
  <c r="G47" i="7"/>
  <c r="G42" i="7"/>
  <c r="G38" i="7"/>
  <c r="G27" i="7"/>
  <c r="G37" i="7" s="1"/>
  <c r="G46" i="7" s="1"/>
  <c r="G61" i="7" s="1"/>
  <c r="G65" i="7" s="1"/>
  <c r="G68" i="7" s="1"/>
  <c r="G21" i="7"/>
  <c r="G23" i="7"/>
  <c r="G24" i="7"/>
  <c r="G25" i="7"/>
  <c r="G26" i="7"/>
  <c r="G29" i="7"/>
  <c r="G30" i="7"/>
  <c r="G31" i="7"/>
  <c r="G32" i="7"/>
  <c r="G33" i="7"/>
  <c r="G34" i="7"/>
  <c r="G35" i="7"/>
  <c r="G36" i="7"/>
  <c r="G39" i="7"/>
  <c r="G40" i="7"/>
  <c r="G41" i="7"/>
  <c r="G43" i="7"/>
  <c r="G44" i="7"/>
  <c r="G45" i="7"/>
  <c r="G48" i="7"/>
  <c r="G49" i="7"/>
  <c r="G50" i="7"/>
  <c r="G51" i="7"/>
  <c r="G52" i="7"/>
  <c r="G53" i="7"/>
  <c r="G54" i="7"/>
  <c r="G56" i="7"/>
  <c r="G57" i="7"/>
  <c r="G58" i="7"/>
  <c r="G59" i="7"/>
  <c r="G60" i="7"/>
  <c r="G63" i="7"/>
  <c r="G64" i="7"/>
  <c r="G66" i="7"/>
  <c r="G67" i="7"/>
  <c r="G22" i="7"/>
  <c r="F68" i="7"/>
  <c r="E68" i="7"/>
  <c r="G36" i="1"/>
  <c r="B37" i="1"/>
  <c r="B39" i="1"/>
  <c r="E39" i="1" s="1"/>
  <c r="F39" i="1" s="1"/>
  <c r="B41" i="1"/>
  <c r="E41" i="1" s="1"/>
  <c r="F41" i="1" s="1"/>
  <c r="G41" i="1"/>
  <c r="H29" i="5"/>
  <c r="I29" i="5" s="1"/>
  <c r="J29" i="5" s="1"/>
  <c r="K29" i="5" s="1"/>
  <c r="L29" i="5" s="1"/>
  <c r="M29" i="5" s="1"/>
  <c r="N29" i="5" s="1"/>
  <c r="O29" i="5" s="1"/>
  <c r="P29" i="5" s="1"/>
  <c r="Q29" i="5" s="1"/>
  <c r="R29" i="5" s="1"/>
  <c r="S29" i="5" s="1"/>
  <c r="T29" i="5" s="1"/>
  <c r="U29" i="5" s="1"/>
  <c r="V29" i="5" s="1"/>
  <c r="W29" i="5" s="1"/>
  <c r="G29" i="5"/>
  <c r="H28" i="4"/>
  <c r="I28" i="4" s="1"/>
  <c r="J28" i="4" s="1"/>
  <c r="K28" i="4" s="1"/>
  <c r="L28" i="4" s="1"/>
  <c r="M28" i="4" s="1"/>
  <c r="N28" i="4" s="1"/>
  <c r="O28" i="4" s="1"/>
  <c r="P28" i="4" s="1"/>
  <c r="Q28" i="4" s="1"/>
  <c r="R28" i="4" s="1"/>
  <c r="S28" i="4" s="1"/>
  <c r="T28" i="4" s="1"/>
  <c r="U28" i="4" s="1"/>
  <c r="V28" i="4" s="1"/>
  <c r="W28" i="4" s="1"/>
  <c r="G28" i="4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G28" i="3"/>
  <c r="I31" i="5"/>
  <c r="H23" i="5"/>
  <c r="I23" i="5" s="1"/>
  <c r="J23" i="5" s="1"/>
  <c r="K23" i="5" s="1"/>
  <c r="L23" i="5" s="1"/>
  <c r="M23" i="5" s="1"/>
  <c r="N23" i="5" s="1"/>
  <c r="O23" i="5" s="1"/>
  <c r="P23" i="5" s="1"/>
  <c r="Q23" i="5" s="1"/>
  <c r="R23" i="5" s="1"/>
  <c r="S23" i="5" s="1"/>
  <c r="T23" i="5" s="1"/>
  <c r="U23" i="5" s="1"/>
  <c r="V23" i="5" s="1"/>
  <c r="W23" i="5" s="1"/>
  <c r="H24" i="5"/>
  <c r="H25" i="5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H26" i="5"/>
  <c r="I26" i="5" s="1"/>
  <c r="J26" i="5" s="1"/>
  <c r="K26" i="5" s="1"/>
  <c r="L26" i="5" s="1"/>
  <c r="M26" i="5" s="1"/>
  <c r="N26" i="5" s="1"/>
  <c r="O26" i="5" s="1"/>
  <c r="P26" i="5" s="1"/>
  <c r="Q26" i="5" s="1"/>
  <c r="R26" i="5" s="1"/>
  <c r="S26" i="5" s="1"/>
  <c r="T26" i="5" s="1"/>
  <c r="U26" i="5" s="1"/>
  <c r="V26" i="5" s="1"/>
  <c r="W26" i="5" s="1"/>
  <c r="H27" i="5"/>
  <c r="I27" i="5" s="1"/>
  <c r="J27" i="5" s="1"/>
  <c r="K27" i="5" s="1"/>
  <c r="L27" i="5" s="1"/>
  <c r="M27" i="5" s="1"/>
  <c r="N27" i="5" s="1"/>
  <c r="O27" i="5" s="1"/>
  <c r="P27" i="5" s="1"/>
  <c r="Q27" i="5" s="1"/>
  <c r="R27" i="5" s="1"/>
  <c r="S27" i="5" s="1"/>
  <c r="T27" i="5" s="1"/>
  <c r="U27" i="5" s="1"/>
  <c r="V27" i="5" s="1"/>
  <c r="W27" i="5" s="1"/>
  <c r="H31" i="5"/>
  <c r="H32" i="5"/>
  <c r="I32" i="5" s="1"/>
  <c r="J32" i="5" s="1"/>
  <c r="K32" i="5" s="1"/>
  <c r="L32" i="5" s="1"/>
  <c r="M32" i="5" s="1"/>
  <c r="N32" i="5" s="1"/>
  <c r="O32" i="5" s="1"/>
  <c r="P32" i="5" s="1"/>
  <c r="Q32" i="5" s="1"/>
  <c r="R32" i="5" s="1"/>
  <c r="S32" i="5" s="1"/>
  <c r="T32" i="5" s="1"/>
  <c r="U32" i="5" s="1"/>
  <c r="V32" i="5" s="1"/>
  <c r="W32" i="5" s="1"/>
  <c r="H33" i="5"/>
  <c r="I33" i="5"/>
  <c r="J33" i="5" s="1"/>
  <c r="H34" i="5"/>
  <c r="I34" i="5"/>
  <c r="J34" i="5" s="1"/>
  <c r="K34" i="5" s="1"/>
  <c r="L34" i="5" s="1"/>
  <c r="M34" i="5" s="1"/>
  <c r="N34" i="5" s="1"/>
  <c r="O34" i="5" s="1"/>
  <c r="P34" i="5" s="1"/>
  <c r="Q34" i="5" s="1"/>
  <c r="R34" i="5" s="1"/>
  <c r="S34" i="5" s="1"/>
  <c r="T34" i="5" s="1"/>
  <c r="U34" i="5" s="1"/>
  <c r="V34" i="5" s="1"/>
  <c r="W34" i="5" s="1"/>
  <c r="H35" i="5"/>
  <c r="I35" i="5"/>
  <c r="J35" i="5" s="1"/>
  <c r="K35" i="5" s="1"/>
  <c r="L35" i="5" s="1"/>
  <c r="M35" i="5" s="1"/>
  <c r="N35" i="5" s="1"/>
  <c r="O35" i="5" s="1"/>
  <c r="P35" i="5" s="1"/>
  <c r="Q35" i="5" s="1"/>
  <c r="R35" i="5" s="1"/>
  <c r="S35" i="5" s="1"/>
  <c r="T35" i="5" s="1"/>
  <c r="U35" i="5" s="1"/>
  <c r="V35" i="5" s="1"/>
  <c r="W35" i="5" s="1"/>
  <c r="H36" i="5"/>
  <c r="I36" i="5"/>
  <c r="J36" i="5" s="1"/>
  <c r="K36" i="5" s="1"/>
  <c r="L36" i="5" s="1"/>
  <c r="M36" i="5" s="1"/>
  <c r="N36" i="5" s="1"/>
  <c r="O36" i="5" s="1"/>
  <c r="P36" i="5" s="1"/>
  <c r="Q36" i="5" s="1"/>
  <c r="R36" i="5" s="1"/>
  <c r="S36" i="5" s="1"/>
  <c r="T36" i="5" s="1"/>
  <c r="U36" i="5" s="1"/>
  <c r="V36" i="5" s="1"/>
  <c r="W36" i="5" s="1"/>
  <c r="H37" i="5"/>
  <c r="I37" i="5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H40" i="5"/>
  <c r="I40" i="5"/>
  <c r="J41" i="5"/>
  <c r="K41" i="5" s="1"/>
  <c r="L41" i="5" s="1"/>
  <c r="M41" i="5" s="1"/>
  <c r="N41" i="5" s="1"/>
  <c r="O41" i="5" s="1"/>
  <c r="P41" i="5" s="1"/>
  <c r="Q41" i="5" s="1"/>
  <c r="R41" i="5" s="1"/>
  <c r="S41" i="5" s="1"/>
  <c r="T41" i="5" s="1"/>
  <c r="U41" i="5" s="1"/>
  <c r="V41" i="5" s="1"/>
  <c r="W41" i="5" s="1"/>
  <c r="H42" i="5"/>
  <c r="I42" i="5"/>
  <c r="J42" i="5" s="1"/>
  <c r="K42" i="5" s="1"/>
  <c r="L42" i="5" s="1"/>
  <c r="M42" i="5" s="1"/>
  <c r="N42" i="5" s="1"/>
  <c r="O42" i="5" s="1"/>
  <c r="P42" i="5" s="1"/>
  <c r="Q42" i="5" s="1"/>
  <c r="R42" i="5" s="1"/>
  <c r="S42" i="5" s="1"/>
  <c r="T42" i="5" s="1"/>
  <c r="U42" i="5" s="1"/>
  <c r="V42" i="5" s="1"/>
  <c r="W42" i="5" s="1"/>
  <c r="H44" i="5"/>
  <c r="H43" i="5" s="1"/>
  <c r="I44" i="5"/>
  <c r="J44" i="5" s="1"/>
  <c r="K44" i="5"/>
  <c r="H45" i="5"/>
  <c r="I45" i="5"/>
  <c r="H46" i="5"/>
  <c r="I46" i="5"/>
  <c r="J46" i="5" s="1"/>
  <c r="K46" i="5"/>
  <c r="L46" i="5" s="1"/>
  <c r="M46" i="5" s="1"/>
  <c r="N46" i="5" s="1"/>
  <c r="O46" i="5"/>
  <c r="P46" i="5" s="1"/>
  <c r="Q46" i="5" s="1"/>
  <c r="R46" i="5" s="1"/>
  <c r="S46" i="5" s="1"/>
  <c r="T46" i="5" s="1"/>
  <c r="U46" i="5" s="1"/>
  <c r="V46" i="5" s="1"/>
  <c r="W46" i="5" s="1"/>
  <c r="H49" i="5"/>
  <c r="I49" i="5" s="1"/>
  <c r="J49" i="5"/>
  <c r="K49" i="5" s="1"/>
  <c r="H50" i="5"/>
  <c r="I50" i="5" s="1"/>
  <c r="J50" i="5"/>
  <c r="K50" i="5" s="1"/>
  <c r="L50" i="5" s="1"/>
  <c r="M50" i="5" s="1"/>
  <c r="N50" i="5" s="1"/>
  <c r="O50" i="5" s="1"/>
  <c r="P50" i="5" s="1"/>
  <c r="Q50" i="5" s="1"/>
  <c r="R50" i="5" s="1"/>
  <c r="S50" i="5" s="1"/>
  <c r="T50" i="5" s="1"/>
  <c r="U50" i="5" s="1"/>
  <c r="V50" i="5" s="1"/>
  <c r="W50" i="5" s="1"/>
  <c r="H51" i="5"/>
  <c r="I51" i="5" s="1"/>
  <c r="J51" i="5"/>
  <c r="K51" i="5" s="1"/>
  <c r="L51" i="5" s="1"/>
  <c r="M51" i="5" s="1"/>
  <c r="N51" i="5" s="1"/>
  <c r="O51" i="5" s="1"/>
  <c r="P51" i="5" s="1"/>
  <c r="Q51" i="5" s="1"/>
  <c r="R51" i="5" s="1"/>
  <c r="S51" i="5" s="1"/>
  <c r="T51" i="5" s="1"/>
  <c r="U51" i="5" s="1"/>
  <c r="V51" i="5" s="1"/>
  <c r="W51" i="5" s="1"/>
  <c r="H52" i="5"/>
  <c r="I52" i="5" s="1"/>
  <c r="J52" i="5"/>
  <c r="K52" i="5" s="1"/>
  <c r="L52" i="5" s="1"/>
  <c r="M52" i="5" s="1"/>
  <c r="N52" i="5" s="1"/>
  <c r="O52" i="5" s="1"/>
  <c r="P52" i="5" s="1"/>
  <c r="Q52" i="5" s="1"/>
  <c r="R52" i="5" s="1"/>
  <c r="S52" i="5" s="1"/>
  <c r="T52" i="5" s="1"/>
  <c r="U52" i="5" s="1"/>
  <c r="V52" i="5" s="1"/>
  <c r="W52" i="5" s="1"/>
  <c r="H53" i="5"/>
  <c r="I53" i="5" s="1"/>
  <c r="J53" i="5"/>
  <c r="K53" i="5" s="1"/>
  <c r="L53" i="5" s="1"/>
  <c r="M53" i="5" s="1"/>
  <c r="N53" i="5" s="1"/>
  <c r="O53" i="5" s="1"/>
  <c r="P53" i="5" s="1"/>
  <c r="Q53" i="5" s="1"/>
  <c r="R53" i="5" s="1"/>
  <c r="S53" i="5" s="1"/>
  <c r="T53" i="5" s="1"/>
  <c r="U53" i="5" s="1"/>
  <c r="V53" i="5" s="1"/>
  <c r="W53" i="5" s="1"/>
  <c r="H54" i="5"/>
  <c r="I54" i="5" s="1"/>
  <c r="J54" i="5"/>
  <c r="K54" i="5" s="1"/>
  <c r="L54" i="5" s="1"/>
  <c r="M54" i="5" s="1"/>
  <c r="N54" i="5" s="1"/>
  <c r="O54" i="5" s="1"/>
  <c r="P54" i="5" s="1"/>
  <c r="Q54" i="5" s="1"/>
  <c r="R54" i="5" s="1"/>
  <c r="S54" i="5" s="1"/>
  <c r="T54" i="5" s="1"/>
  <c r="U54" i="5" s="1"/>
  <c r="V54" i="5" s="1"/>
  <c r="W54" i="5" s="1"/>
  <c r="H55" i="5"/>
  <c r="I55" i="5" s="1"/>
  <c r="J55" i="5"/>
  <c r="K55" i="5" s="1"/>
  <c r="L55" i="5" s="1"/>
  <c r="M55" i="5" s="1"/>
  <c r="N55" i="5" s="1"/>
  <c r="O55" i="5" s="1"/>
  <c r="P55" i="5" s="1"/>
  <c r="Q55" i="5" s="1"/>
  <c r="R55" i="5" s="1"/>
  <c r="S55" i="5" s="1"/>
  <c r="T55" i="5" s="1"/>
  <c r="U55" i="5" s="1"/>
  <c r="V55" i="5" s="1"/>
  <c r="W55" i="5" s="1"/>
  <c r="H57" i="5"/>
  <c r="I57" i="5" s="1"/>
  <c r="J57" i="5"/>
  <c r="K57" i="5" s="1"/>
  <c r="H58" i="5"/>
  <c r="I58" i="5" s="1"/>
  <c r="J58" i="5"/>
  <c r="K58" i="5" s="1"/>
  <c r="L58" i="5" s="1"/>
  <c r="M58" i="5" s="1"/>
  <c r="N58" i="5" s="1"/>
  <c r="O58" i="5" s="1"/>
  <c r="P58" i="5" s="1"/>
  <c r="Q58" i="5" s="1"/>
  <c r="R58" i="5" s="1"/>
  <c r="S58" i="5" s="1"/>
  <c r="T58" i="5" s="1"/>
  <c r="U58" i="5" s="1"/>
  <c r="V58" i="5" s="1"/>
  <c r="W58" i="5" s="1"/>
  <c r="H59" i="5"/>
  <c r="I59" i="5" s="1"/>
  <c r="J59" i="5"/>
  <c r="K59" i="5" s="1"/>
  <c r="L59" i="5" s="1"/>
  <c r="M59" i="5" s="1"/>
  <c r="N59" i="5" s="1"/>
  <c r="O59" i="5" s="1"/>
  <c r="P59" i="5" s="1"/>
  <c r="Q59" i="5" s="1"/>
  <c r="R59" i="5" s="1"/>
  <c r="S59" i="5" s="1"/>
  <c r="T59" i="5" s="1"/>
  <c r="U59" i="5" s="1"/>
  <c r="V59" i="5" s="1"/>
  <c r="W59" i="5" s="1"/>
  <c r="H60" i="5"/>
  <c r="I60" i="5" s="1"/>
  <c r="J60" i="5"/>
  <c r="K60" i="5" s="1"/>
  <c r="L60" i="5" s="1"/>
  <c r="M60" i="5" s="1"/>
  <c r="N60" i="5" s="1"/>
  <c r="O60" i="5" s="1"/>
  <c r="P60" i="5" s="1"/>
  <c r="Q60" i="5" s="1"/>
  <c r="R60" i="5" s="1"/>
  <c r="S60" i="5" s="1"/>
  <c r="T60" i="5" s="1"/>
  <c r="U60" i="5" s="1"/>
  <c r="V60" i="5" s="1"/>
  <c r="W60" i="5" s="1"/>
  <c r="H61" i="5"/>
  <c r="I61" i="5" s="1"/>
  <c r="J61" i="5"/>
  <c r="K61" i="5" s="1"/>
  <c r="L61" i="5" s="1"/>
  <c r="M61" i="5" s="1"/>
  <c r="N61" i="5" s="1"/>
  <c r="O61" i="5" s="1"/>
  <c r="P61" i="5" s="1"/>
  <c r="Q61" i="5" s="1"/>
  <c r="R61" i="5" s="1"/>
  <c r="S61" i="5" s="1"/>
  <c r="T61" i="5" s="1"/>
  <c r="U61" i="5" s="1"/>
  <c r="V61" i="5" s="1"/>
  <c r="W61" i="5" s="1"/>
  <c r="H64" i="5"/>
  <c r="I64" i="5" s="1"/>
  <c r="J64" i="5"/>
  <c r="K64" i="5" s="1"/>
  <c r="H65" i="5"/>
  <c r="I65" i="5" s="1"/>
  <c r="J65" i="5"/>
  <c r="K65" i="5" s="1"/>
  <c r="L65" i="5" s="1"/>
  <c r="M65" i="5" s="1"/>
  <c r="N65" i="5" s="1"/>
  <c r="O65" i="5" s="1"/>
  <c r="P65" i="5" s="1"/>
  <c r="Q65" i="5" s="1"/>
  <c r="R65" i="5" s="1"/>
  <c r="S65" i="5" s="1"/>
  <c r="T65" i="5" s="1"/>
  <c r="U65" i="5" s="1"/>
  <c r="V65" i="5" s="1"/>
  <c r="W65" i="5" s="1"/>
  <c r="H68" i="5"/>
  <c r="I68" i="5" s="1"/>
  <c r="J68" i="5" s="1"/>
  <c r="K68" i="5" s="1"/>
  <c r="L68" i="5" s="1"/>
  <c r="M68" i="5" s="1"/>
  <c r="N68" i="5" s="1"/>
  <c r="O68" i="5" s="1"/>
  <c r="P68" i="5" s="1"/>
  <c r="Q68" i="5" s="1"/>
  <c r="R68" i="5" s="1"/>
  <c r="S68" i="5" s="1"/>
  <c r="T68" i="5" s="1"/>
  <c r="U68" i="5" s="1"/>
  <c r="V68" i="5" s="1"/>
  <c r="W68" i="5" s="1"/>
  <c r="G63" i="5"/>
  <c r="G56" i="5"/>
  <c r="G48" i="5"/>
  <c r="G43" i="5"/>
  <c r="G39" i="5"/>
  <c r="G28" i="5"/>
  <c r="G38" i="5" s="1"/>
  <c r="G47" i="5" s="1"/>
  <c r="G62" i="5" s="1"/>
  <c r="G66" i="5" s="1"/>
  <c r="G22" i="5"/>
  <c r="G24" i="5"/>
  <c r="G25" i="5"/>
  <c r="G26" i="5"/>
  <c r="G27" i="5"/>
  <c r="G30" i="5"/>
  <c r="G31" i="5"/>
  <c r="G32" i="5"/>
  <c r="G33" i="5"/>
  <c r="G34" i="5"/>
  <c r="G35" i="5"/>
  <c r="G36" i="5"/>
  <c r="G37" i="5"/>
  <c r="G40" i="5"/>
  <c r="G41" i="5"/>
  <c r="G42" i="5"/>
  <c r="G44" i="5"/>
  <c r="G45" i="5"/>
  <c r="G46" i="5"/>
  <c r="G49" i="5"/>
  <c r="G50" i="5"/>
  <c r="G51" i="5"/>
  <c r="G52" i="5"/>
  <c r="G53" i="5"/>
  <c r="G54" i="5"/>
  <c r="G55" i="5"/>
  <c r="G57" i="5"/>
  <c r="G58" i="5"/>
  <c r="G59" i="5"/>
  <c r="G60" i="5"/>
  <c r="G61" i="5"/>
  <c r="G64" i="5"/>
  <c r="G65" i="5"/>
  <c r="G68" i="5"/>
  <c r="G23" i="5"/>
  <c r="B14" i="1"/>
  <c r="B12" i="1"/>
  <c r="B10" i="1"/>
  <c r="G11" i="7" l="1"/>
  <c r="G39" i="1"/>
  <c r="E37" i="1"/>
  <c r="B48" i="1"/>
  <c r="F38" i="1"/>
  <c r="F27" i="1"/>
  <c r="I38" i="7"/>
  <c r="N56" i="7"/>
  <c r="M55" i="7"/>
  <c r="K63" i="7"/>
  <c r="I62" i="7"/>
  <c r="J55" i="7"/>
  <c r="K55" i="7"/>
  <c r="L55" i="7"/>
  <c r="I55" i="7"/>
  <c r="I47" i="7"/>
  <c r="J48" i="7"/>
  <c r="I42" i="7"/>
  <c r="J43" i="7"/>
  <c r="K32" i="7"/>
  <c r="J39" i="7"/>
  <c r="I23" i="7"/>
  <c r="F37" i="1"/>
  <c r="G37" i="1"/>
  <c r="G69" i="5"/>
  <c r="G67" i="5"/>
  <c r="J31" i="5"/>
  <c r="K31" i="5" s="1"/>
  <c r="L31" i="5" s="1"/>
  <c r="M31" i="5" s="1"/>
  <c r="N31" i="5" s="1"/>
  <c r="O31" i="5" s="1"/>
  <c r="P31" i="5" s="1"/>
  <c r="Q31" i="5" s="1"/>
  <c r="R31" i="5" s="1"/>
  <c r="S31" i="5" s="1"/>
  <c r="T31" i="5" s="1"/>
  <c r="U31" i="5" s="1"/>
  <c r="V31" i="5" s="1"/>
  <c r="W31" i="5" s="1"/>
  <c r="K63" i="5"/>
  <c r="J63" i="5"/>
  <c r="K56" i="5"/>
  <c r="J56" i="5"/>
  <c r="K48" i="5"/>
  <c r="J48" i="5"/>
  <c r="L44" i="5"/>
  <c r="L64" i="5"/>
  <c r="I63" i="5"/>
  <c r="H63" i="5"/>
  <c r="L57" i="5"/>
  <c r="I56" i="5"/>
  <c r="H56" i="5"/>
  <c r="L49" i="5"/>
  <c r="I48" i="5"/>
  <c r="H48" i="5"/>
  <c r="J45" i="5"/>
  <c r="K45" i="5" s="1"/>
  <c r="L45" i="5" s="1"/>
  <c r="M45" i="5" s="1"/>
  <c r="N45" i="5" s="1"/>
  <c r="O45" i="5" s="1"/>
  <c r="P45" i="5" s="1"/>
  <c r="Q45" i="5" s="1"/>
  <c r="R45" i="5" s="1"/>
  <c r="S45" i="5" s="1"/>
  <c r="T45" i="5" s="1"/>
  <c r="U45" i="5" s="1"/>
  <c r="V45" i="5" s="1"/>
  <c r="W45" i="5" s="1"/>
  <c r="I43" i="5"/>
  <c r="J43" i="5"/>
  <c r="I39" i="5"/>
  <c r="K33" i="5"/>
  <c r="J40" i="5"/>
  <c r="H22" i="5"/>
  <c r="I24" i="5"/>
  <c r="D79" i="1" l="1"/>
  <c r="D78" i="1"/>
  <c r="J23" i="7"/>
  <c r="I21" i="7"/>
  <c r="L32" i="7"/>
  <c r="J42" i="7"/>
  <c r="K43" i="7"/>
  <c r="K48" i="7"/>
  <c r="J47" i="7"/>
  <c r="K39" i="7"/>
  <c r="J38" i="7"/>
  <c r="L63" i="7"/>
  <c r="K62" i="7"/>
  <c r="N55" i="7"/>
  <c r="O56" i="7"/>
  <c r="H37" i="1"/>
  <c r="J24" i="5"/>
  <c r="I22" i="5"/>
  <c r="K40" i="5"/>
  <c r="J39" i="5"/>
  <c r="M57" i="5"/>
  <c r="L56" i="5"/>
  <c r="K43" i="5"/>
  <c r="L33" i="5"/>
  <c r="M49" i="5"/>
  <c r="L48" i="5"/>
  <c r="M64" i="5"/>
  <c r="L63" i="5"/>
  <c r="L43" i="5"/>
  <c r="M44" i="5"/>
  <c r="F147" i="5"/>
  <c r="F148" i="5"/>
  <c r="F149" i="5"/>
  <c r="E149" i="5"/>
  <c r="E148" i="5"/>
  <c r="E147" i="5"/>
  <c r="F133" i="5"/>
  <c r="F134" i="5"/>
  <c r="F135" i="5"/>
  <c r="E135" i="5"/>
  <c r="E134" i="5"/>
  <c r="E133" i="5"/>
  <c r="F39" i="5"/>
  <c r="F148" i="7"/>
  <c r="E148" i="7"/>
  <c r="F147" i="7"/>
  <c r="E147" i="7"/>
  <c r="F146" i="7"/>
  <c r="E146" i="7"/>
  <c r="F132" i="7"/>
  <c r="E132" i="7"/>
  <c r="F114" i="7"/>
  <c r="E114" i="7"/>
  <c r="E112" i="7" s="1"/>
  <c r="F112" i="7"/>
  <c r="F110" i="7"/>
  <c r="E110" i="7"/>
  <c r="F108" i="7"/>
  <c r="E108" i="7"/>
  <c r="F96" i="7"/>
  <c r="F133" i="7" s="1"/>
  <c r="E96" i="7"/>
  <c r="E133" i="7" s="1"/>
  <c r="F87" i="7"/>
  <c r="F144" i="7" s="1"/>
  <c r="E87" i="7"/>
  <c r="E144" i="7" s="1"/>
  <c r="F76" i="7"/>
  <c r="E76" i="7"/>
  <c r="F75" i="7"/>
  <c r="E75" i="7"/>
  <c r="E73" i="7" s="1"/>
  <c r="F73" i="7"/>
  <c r="F92" i="7" s="1"/>
  <c r="F134" i="7" s="1"/>
  <c r="F62" i="7"/>
  <c r="E62" i="7"/>
  <c r="F55" i="7"/>
  <c r="E55" i="7"/>
  <c r="F47" i="7"/>
  <c r="E47" i="7"/>
  <c r="F42" i="7"/>
  <c r="E42" i="7"/>
  <c r="F38" i="7"/>
  <c r="E38" i="7"/>
  <c r="F27" i="7"/>
  <c r="E27" i="7"/>
  <c r="F21" i="7"/>
  <c r="F37" i="7" s="1"/>
  <c r="F46" i="7" s="1"/>
  <c r="F61" i="7" s="1"/>
  <c r="F65" i="7" s="1"/>
  <c r="E21" i="7"/>
  <c r="J11" i="7"/>
  <c r="F115" i="5"/>
  <c r="F113" i="5" s="1"/>
  <c r="E115" i="5"/>
  <c r="E113" i="5" s="1"/>
  <c r="F111" i="5"/>
  <c r="E111" i="5"/>
  <c r="F109" i="5"/>
  <c r="E109" i="5"/>
  <c r="F97" i="5"/>
  <c r="E97" i="5"/>
  <c r="F88" i="5"/>
  <c r="F145" i="5" s="1"/>
  <c r="E88" i="5"/>
  <c r="E145" i="5" s="1"/>
  <c r="F77" i="5"/>
  <c r="F76" i="5" s="1"/>
  <c r="F74" i="5" s="1"/>
  <c r="E77" i="5"/>
  <c r="E76" i="5" s="1"/>
  <c r="E74" i="5" s="1"/>
  <c r="F63" i="5"/>
  <c r="E63" i="5"/>
  <c r="F56" i="5"/>
  <c r="E56" i="5"/>
  <c r="F48" i="5"/>
  <c r="E48" i="5"/>
  <c r="F43" i="5"/>
  <c r="E43" i="5"/>
  <c r="E39" i="5"/>
  <c r="F28" i="5"/>
  <c r="E28" i="5"/>
  <c r="F22" i="5"/>
  <c r="E22" i="5"/>
  <c r="G12" i="5"/>
  <c r="C93" i="1" l="1"/>
  <c r="B78" i="1"/>
  <c r="C84" i="1"/>
  <c r="B79" i="1"/>
  <c r="D85" i="1" s="1"/>
  <c r="D91" i="1" s="1"/>
  <c r="P56" i="7"/>
  <c r="O55" i="7"/>
  <c r="L43" i="7"/>
  <c r="K42" i="7"/>
  <c r="M32" i="7"/>
  <c r="L62" i="7"/>
  <c r="M63" i="7"/>
  <c r="K38" i="7"/>
  <c r="L39" i="7"/>
  <c r="K47" i="7"/>
  <c r="L48" i="7"/>
  <c r="J21" i="7"/>
  <c r="K23" i="7"/>
  <c r="F106" i="7"/>
  <c r="F140" i="7" s="1"/>
  <c r="E106" i="7"/>
  <c r="E140" i="7" s="1"/>
  <c r="E92" i="7"/>
  <c r="E134" i="7" s="1"/>
  <c r="E37" i="7"/>
  <c r="E46" i="7" s="1"/>
  <c r="E61" i="7" s="1"/>
  <c r="E65" i="7" s="1"/>
  <c r="J12" i="5"/>
  <c r="N11" i="7"/>
  <c r="M11" i="7"/>
  <c r="N44" i="5"/>
  <c r="M43" i="5"/>
  <c r="M63" i="5"/>
  <c r="N64" i="5"/>
  <c r="M48" i="5"/>
  <c r="N49" i="5"/>
  <c r="M33" i="5"/>
  <c r="M56" i="5"/>
  <c r="N57" i="5"/>
  <c r="K39" i="5"/>
  <c r="L40" i="5"/>
  <c r="J22" i="5"/>
  <c r="K24" i="5"/>
  <c r="H12" i="5"/>
  <c r="K12" i="5" s="1"/>
  <c r="O12" i="5" s="1"/>
  <c r="E38" i="5"/>
  <c r="E47" i="5" s="1"/>
  <c r="E62" i="5" s="1"/>
  <c r="E66" i="5" s="1"/>
  <c r="E69" i="5" s="1"/>
  <c r="F136" i="7"/>
  <c r="F137" i="7"/>
  <c r="F139" i="7"/>
  <c r="F142" i="7"/>
  <c r="F143" i="7"/>
  <c r="E136" i="7"/>
  <c r="E137" i="7"/>
  <c r="E142" i="7"/>
  <c r="E143" i="7"/>
  <c r="H11" i="7"/>
  <c r="F107" i="5"/>
  <c r="E107" i="5"/>
  <c r="E141" i="5" s="1"/>
  <c r="F141" i="5"/>
  <c r="F93" i="5"/>
  <c r="E93" i="5"/>
  <c r="E137" i="5"/>
  <c r="E138" i="5"/>
  <c r="E140" i="5"/>
  <c r="E143" i="5"/>
  <c r="E144" i="5"/>
  <c r="F125" i="5"/>
  <c r="F137" i="5"/>
  <c r="F138" i="5"/>
  <c r="F143" i="5"/>
  <c r="F144" i="5"/>
  <c r="F38" i="5"/>
  <c r="F47" i="5" s="1"/>
  <c r="F62" i="5" s="1"/>
  <c r="F66" i="5" s="1"/>
  <c r="F69" i="5" s="1"/>
  <c r="H22" i="4"/>
  <c r="I22" i="4" s="1"/>
  <c r="J22" i="4" s="1"/>
  <c r="K22" i="4" s="1"/>
  <c r="L22" i="4" s="1"/>
  <c r="M22" i="4" s="1"/>
  <c r="N22" i="4" s="1"/>
  <c r="O22" i="4" s="1"/>
  <c r="P22" i="4" s="1"/>
  <c r="Q22" i="4" s="1"/>
  <c r="R22" i="4" s="1"/>
  <c r="S22" i="4" s="1"/>
  <c r="T22" i="4" s="1"/>
  <c r="U22" i="4" s="1"/>
  <c r="V22" i="4" s="1"/>
  <c r="W22" i="4" s="1"/>
  <c r="H23" i="4"/>
  <c r="H21" i="4" s="1"/>
  <c r="H24" i="4"/>
  <c r="I24" i="4" s="1"/>
  <c r="J24" i="4" s="1"/>
  <c r="K24" i="4" s="1"/>
  <c r="L24" i="4" s="1"/>
  <c r="M24" i="4" s="1"/>
  <c r="N24" i="4" s="1"/>
  <c r="O24" i="4" s="1"/>
  <c r="P24" i="4" s="1"/>
  <c r="Q24" i="4" s="1"/>
  <c r="R24" i="4" s="1"/>
  <c r="S24" i="4" s="1"/>
  <c r="T24" i="4" s="1"/>
  <c r="U24" i="4" s="1"/>
  <c r="V24" i="4" s="1"/>
  <c r="W24" i="4" s="1"/>
  <c r="H25" i="4"/>
  <c r="I25" i="4" s="1"/>
  <c r="J25" i="4" s="1"/>
  <c r="K25" i="4" s="1"/>
  <c r="L25" i="4" s="1"/>
  <c r="M25" i="4" s="1"/>
  <c r="N25" i="4" s="1"/>
  <c r="O25" i="4" s="1"/>
  <c r="P25" i="4" s="1"/>
  <c r="Q25" i="4" s="1"/>
  <c r="R25" i="4" s="1"/>
  <c r="S25" i="4" s="1"/>
  <c r="T25" i="4" s="1"/>
  <c r="U25" i="4" s="1"/>
  <c r="V25" i="4" s="1"/>
  <c r="W25" i="4" s="1"/>
  <c r="H26" i="4"/>
  <c r="I26" i="4" s="1"/>
  <c r="J26" i="4" s="1"/>
  <c r="K26" i="4" s="1"/>
  <c r="L26" i="4" s="1"/>
  <c r="M26" i="4" s="1"/>
  <c r="N26" i="4" s="1"/>
  <c r="O26" i="4" s="1"/>
  <c r="P26" i="4" s="1"/>
  <c r="Q26" i="4" s="1"/>
  <c r="R26" i="4" s="1"/>
  <c r="S26" i="4" s="1"/>
  <c r="T26" i="4" s="1"/>
  <c r="U26" i="4" s="1"/>
  <c r="V26" i="4" s="1"/>
  <c r="W26" i="4" s="1"/>
  <c r="H30" i="4"/>
  <c r="J30" i="4"/>
  <c r="K30" i="4" s="1"/>
  <c r="L30" i="4" s="1"/>
  <c r="M30" i="4" s="1"/>
  <c r="N30" i="4" s="1"/>
  <c r="O30" i="4" s="1"/>
  <c r="P30" i="4" s="1"/>
  <c r="Q30" i="4" s="1"/>
  <c r="R30" i="4" s="1"/>
  <c r="S30" i="4" s="1"/>
  <c r="T30" i="4" s="1"/>
  <c r="U30" i="4" s="1"/>
  <c r="V30" i="4" s="1"/>
  <c r="W30" i="4" s="1"/>
  <c r="H31" i="4"/>
  <c r="I31" i="4" s="1"/>
  <c r="J31" i="4"/>
  <c r="K31" i="4" s="1"/>
  <c r="L31" i="4" s="1"/>
  <c r="M31" i="4" s="1"/>
  <c r="N31" i="4" s="1"/>
  <c r="O31" i="4" s="1"/>
  <c r="P31" i="4" s="1"/>
  <c r="Q31" i="4" s="1"/>
  <c r="R31" i="4" s="1"/>
  <c r="S31" i="4" s="1"/>
  <c r="T31" i="4" s="1"/>
  <c r="U31" i="4" s="1"/>
  <c r="V31" i="4" s="1"/>
  <c r="W31" i="4" s="1"/>
  <c r="H32" i="4"/>
  <c r="I32" i="4" s="1"/>
  <c r="H33" i="4"/>
  <c r="I33" i="4" s="1"/>
  <c r="J33" i="4" s="1"/>
  <c r="K33" i="4" s="1"/>
  <c r="L33" i="4" s="1"/>
  <c r="M33" i="4" s="1"/>
  <c r="N33" i="4" s="1"/>
  <c r="O33" i="4" s="1"/>
  <c r="P33" i="4" s="1"/>
  <c r="Q33" i="4" s="1"/>
  <c r="R33" i="4" s="1"/>
  <c r="S33" i="4" s="1"/>
  <c r="T33" i="4" s="1"/>
  <c r="U33" i="4" s="1"/>
  <c r="V33" i="4" s="1"/>
  <c r="W33" i="4" s="1"/>
  <c r="H34" i="4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H35" i="4"/>
  <c r="I35" i="4" s="1"/>
  <c r="J35" i="4" s="1"/>
  <c r="K35" i="4" s="1"/>
  <c r="L35" i="4" s="1"/>
  <c r="M35" i="4" s="1"/>
  <c r="N35" i="4" s="1"/>
  <c r="O35" i="4" s="1"/>
  <c r="P35" i="4" s="1"/>
  <c r="Q35" i="4" s="1"/>
  <c r="R35" i="4" s="1"/>
  <c r="S35" i="4" s="1"/>
  <c r="T35" i="4" s="1"/>
  <c r="U35" i="4" s="1"/>
  <c r="V35" i="4" s="1"/>
  <c r="W35" i="4" s="1"/>
  <c r="H36" i="4"/>
  <c r="I36" i="4" s="1"/>
  <c r="J36" i="4" s="1"/>
  <c r="K36" i="4" s="1"/>
  <c r="L36" i="4" s="1"/>
  <c r="M36" i="4" s="1"/>
  <c r="N36" i="4" s="1"/>
  <c r="O36" i="4" s="1"/>
  <c r="P36" i="4" s="1"/>
  <c r="Q36" i="4" s="1"/>
  <c r="R36" i="4" s="1"/>
  <c r="S36" i="4" s="1"/>
  <c r="T36" i="4" s="1"/>
  <c r="U36" i="4" s="1"/>
  <c r="V36" i="4" s="1"/>
  <c r="W36" i="4" s="1"/>
  <c r="H39" i="4"/>
  <c r="J40" i="4"/>
  <c r="K40" i="4" s="1"/>
  <c r="L40" i="4" s="1"/>
  <c r="M40" i="4" s="1"/>
  <c r="N40" i="4" s="1"/>
  <c r="O40" i="4" s="1"/>
  <c r="P40" i="4" s="1"/>
  <c r="Q40" i="4" s="1"/>
  <c r="R40" i="4" s="1"/>
  <c r="S40" i="4" s="1"/>
  <c r="T40" i="4" s="1"/>
  <c r="U40" i="4" s="1"/>
  <c r="V40" i="4" s="1"/>
  <c r="W40" i="4" s="1"/>
  <c r="H41" i="4"/>
  <c r="I41" i="4" s="1"/>
  <c r="J41" i="4" s="1"/>
  <c r="K41" i="4" s="1"/>
  <c r="L41" i="4" s="1"/>
  <c r="M41" i="4" s="1"/>
  <c r="N41" i="4" s="1"/>
  <c r="O41" i="4" s="1"/>
  <c r="P41" i="4" s="1"/>
  <c r="Q41" i="4" s="1"/>
  <c r="R41" i="4" s="1"/>
  <c r="S41" i="4" s="1"/>
  <c r="T41" i="4" s="1"/>
  <c r="U41" i="4" s="1"/>
  <c r="V41" i="4" s="1"/>
  <c r="W41" i="4" s="1"/>
  <c r="H43" i="4"/>
  <c r="H44" i="4"/>
  <c r="I44" i="4" s="1"/>
  <c r="J44" i="4" s="1"/>
  <c r="K44" i="4" s="1"/>
  <c r="L44" i="4" s="1"/>
  <c r="M44" i="4" s="1"/>
  <c r="N44" i="4" s="1"/>
  <c r="O44" i="4" s="1"/>
  <c r="P44" i="4" s="1"/>
  <c r="Q44" i="4" s="1"/>
  <c r="R44" i="4" s="1"/>
  <c r="S44" i="4" s="1"/>
  <c r="T44" i="4" s="1"/>
  <c r="U44" i="4" s="1"/>
  <c r="V44" i="4" s="1"/>
  <c r="W44" i="4" s="1"/>
  <c r="H45" i="4"/>
  <c r="I45" i="4" s="1"/>
  <c r="J45" i="4" s="1"/>
  <c r="K45" i="4" s="1"/>
  <c r="L45" i="4" s="1"/>
  <c r="M45" i="4" s="1"/>
  <c r="N45" i="4" s="1"/>
  <c r="O45" i="4" s="1"/>
  <c r="P45" i="4" s="1"/>
  <c r="Q45" i="4" s="1"/>
  <c r="R45" i="4" s="1"/>
  <c r="S45" i="4" s="1"/>
  <c r="T45" i="4" s="1"/>
  <c r="U45" i="4" s="1"/>
  <c r="V45" i="4" s="1"/>
  <c r="W45" i="4" s="1"/>
  <c r="H48" i="4"/>
  <c r="H47" i="4" s="1"/>
  <c r="H49" i="4"/>
  <c r="I49" i="4" s="1"/>
  <c r="J49" i="4" s="1"/>
  <c r="K49" i="4" s="1"/>
  <c r="L49" i="4" s="1"/>
  <c r="M49" i="4" s="1"/>
  <c r="N49" i="4" s="1"/>
  <c r="O49" i="4" s="1"/>
  <c r="P49" i="4" s="1"/>
  <c r="Q49" i="4" s="1"/>
  <c r="R49" i="4" s="1"/>
  <c r="S49" i="4" s="1"/>
  <c r="T49" i="4" s="1"/>
  <c r="U49" i="4" s="1"/>
  <c r="V49" i="4" s="1"/>
  <c r="W49" i="4" s="1"/>
  <c r="H50" i="4"/>
  <c r="I50" i="4" s="1"/>
  <c r="J50" i="4" s="1"/>
  <c r="K50" i="4" s="1"/>
  <c r="L50" i="4" s="1"/>
  <c r="M50" i="4" s="1"/>
  <c r="N50" i="4" s="1"/>
  <c r="O50" i="4" s="1"/>
  <c r="P50" i="4" s="1"/>
  <c r="Q50" i="4" s="1"/>
  <c r="R50" i="4" s="1"/>
  <c r="S50" i="4" s="1"/>
  <c r="T50" i="4" s="1"/>
  <c r="U50" i="4" s="1"/>
  <c r="V50" i="4" s="1"/>
  <c r="W50" i="4" s="1"/>
  <c r="H51" i="4"/>
  <c r="I51" i="4" s="1"/>
  <c r="J51" i="4" s="1"/>
  <c r="K51" i="4" s="1"/>
  <c r="L51" i="4" s="1"/>
  <c r="M51" i="4" s="1"/>
  <c r="N51" i="4" s="1"/>
  <c r="O51" i="4" s="1"/>
  <c r="P51" i="4" s="1"/>
  <c r="Q51" i="4" s="1"/>
  <c r="R51" i="4" s="1"/>
  <c r="S51" i="4" s="1"/>
  <c r="T51" i="4" s="1"/>
  <c r="U51" i="4" s="1"/>
  <c r="V51" i="4" s="1"/>
  <c r="W51" i="4" s="1"/>
  <c r="H52" i="4"/>
  <c r="I52" i="4" s="1"/>
  <c r="J52" i="4" s="1"/>
  <c r="K52" i="4" s="1"/>
  <c r="L52" i="4" s="1"/>
  <c r="M52" i="4" s="1"/>
  <c r="N52" i="4" s="1"/>
  <c r="O52" i="4" s="1"/>
  <c r="P52" i="4" s="1"/>
  <c r="Q52" i="4" s="1"/>
  <c r="R52" i="4" s="1"/>
  <c r="S52" i="4" s="1"/>
  <c r="T52" i="4" s="1"/>
  <c r="U52" i="4" s="1"/>
  <c r="V52" i="4" s="1"/>
  <c r="W52" i="4" s="1"/>
  <c r="H53" i="4"/>
  <c r="I53" i="4" s="1"/>
  <c r="J53" i="4" s="1"/>
  <c r="K53" i="4" s="1"/>
  <c r="L53" i="4" s="1"/>
  <c r="M53" i="4" s="1"/>
  <c r="N53" i="4" s="1"/>
  <c r="O53" i="4" s="1"/>
  <c r="P53" i="4" s="1"/>
  <c r="Q53" i="4" s="1"/>
  <c r="R53" i="4" s="1"/>
  <c r="S53" i="4" s="1"/>
  <c r="T53" i="4" s="1"/>
  <c r="U53" i="4" s="1"/>
  <c r="V53" i="4" s="1"/>
  <c r="W53" i="4" s="1"/>
  <c r="H54" i="4"/>
  <c r="I54" i="4" s="1"/>
  <c r="J54" i="4" s="1"/>
  <c r="K54" i="4" s="1"/>
  <c r="L54" i="4" s="1"/>
  <c r="M54" i="4" s="1"/>
  <c r="N54" i="4" s="1"/>
  <c r="O54" i="4" s="1"/>
  <c r="P54" i="4" s="1"/>
  <c r="Q54" i="4" s="1"/>
  <c r="R54" i="4" s="1"/>
  <c r="S54" i="4" s="1"/>
  <c r="T54" i="4" s="1"/>
  <c r="U54" i="4" s="1"/>
  <c r="V54" i="4" s="1"/>
  <c r="W54" i="4" s="1"/>
  <c r="H56" i="4"/>
  <c r="H57" i="4"/>
  <c r="I57" i="4" s="1"/>
  <c r="J57" i="4" s="1"/>
  <c r="K57" i="4" s="1"/>
  <c r="L57" i="4" s="1"/>
  <c r="M57" i="4" s="1"/>
  <c r="N57" i="4" s="1"/>
  <c r="O57" i="4" s="1"/>
  <c r="P57" i="4" s="1"/>
  <c r="Q57" i="4" s="1"/>
  <c r="R57" i="4" s="1"/>
  <c r="S57" i="4" s="1"/>
  <c r="T57" i="4" s="1"/>
  <c r="U57" i="4" s="1"/>
  <c r="V57" i="4" s="1"/>
  <c r="W57" i="4" s="1"/>
  <c r="H58" i="4"/>
  <c r="I58" i="4" s="1"/>
  <c r="J58" i="4" s="1"/>
  <c r="K58" i="4" s="1"/>
  <c r="L58" i="4" s="1"/>
  <c r="M58" i="4" s="1"/>
  <c r="N58" i="4" s="1"/>
  <c r="O58" i="4" s="1"/>
  <c r="P58" i="4" s="1"/>
  <c r="Q58" i="4" s="1"/>
  <c r="R58" i="4" s="1"/>
  <c r="S58" i="4" s="1"/>
  <c r="T58" i="4" s="1"/>
  <c r="U58" i="4" s="1"/>
  <c r="V58" i="4" s="1"/>
  <c r="W58" i="4" s="1"/>
  <c r="H59" i="4"/>
  <c r="I59" i="4" s="1"/>
  <c r="J59" i="4" s="1"/>
  <c r="K59" i="4" s="1"/>
  <c r="L59" i="4" s="1"/>
  <c r="M59" i="4" s="1"/>
  <c r="N59" i="4" s="1"/>
  <c r="O59" i="4" s="1"/>
  <c r="P59" i="4" s="1"/>
  <c r="Q59" i="4" s="1"/>
  <c r="R59" i="4" s="1"/>
  <c r="S59" i="4" s="1"/>
  <c r="T59" i="4" s="1"/>
  <c r="U59" i="4" s="1"/>
  <c r="V59" i="4" s="1"/>
  <c r="W59" i="4" s="1"/>
  <c r="H60" i="4"/>
  <c r="I60" i="4" s="1"/>
  <c r="J60" i="4" s="1"/>
  <c r="K60" i="4" s="1"/>
  <c r="L60" i="4" s="1"/>
  <c r="M60" i="4" s="1"/>
  <c r="N60" i="4" s="1"/>
  <c r="O60" i="4" s="1"/>
  <c r="P60" i="4" s="1"/>
  <c r="Q60" i="4" s="1"/>
  <c r="R60" i="4" s="1"/>
  <c r="S60" i="4" s="1"/>
  <c r="T60" i="4" s="1"/>
  <c r="U60" i="4" s="1"/>
  <c r="V60" i="4" s="1"/>
  <c r="W60" i="4" s="1"/>
  <c r="H63" i="4"/>
  <c r="I63" i="4" s="1"/>
  <c r="J63" i="4" s="1"/>
  <c r="H64" i="4"/>
  <c r="I64" i="4" s="1"/>
  <c r="J64" i="4" s="1"/>
  <c r="K64" i="4" s="1"/>
  <c r="L64" i="4" s="1"/>
  <c r="M64" i="4" s="1"/>
  <c r="N64" i="4" s="1"/>
  <c r="O64" i="4" s="1"/>
  <c r="P64" i="4" s="1"/>
  <c r="Q64" i="4" s="1"/>
  <c r="R64" i="4" s="1"/>
  <c r="S64" i="4" s="1"/>
  <c r="T64" i="4" s="1"/>
  <c r="U64" i="4" s="1"/>
  <c r="V64" i="4" s="1"/>
  <c r="W64" i="4" s="1"/>
  <c r="G62" i="4"/>
  <c r="G55" i="4"/>
  <c r="G47" i="4"/>
  <c r="G42" i="4"/>
  <c r="G38" i="4"/>
  <c r="G27" i="4"/>
  <c r="G37" i="4" s="1"/>
  <c r="G46" i="4" s="1"/>
  <c r="G61" i="4" s="1"/>
  <c r="G65" i="4" s="1"/>
  <c r="G29" i="4"/>
  <c r="G30" i="4"/>
  <c r="G31" i="4"/>
  <c r="G32" i="4"/>
  <c r="G33" i="4"/>
  <c r="G34" i="4"/>
  <c r="G35" i="4"/>
  <c r="G36" i="4"/>
  <c r="G39" i="4"/>
  <c r="G40" i="4"/>
  <c r="G41" i="4"/>
  <c r="G43" i="4"/>
  <c r="G44" i="4"/>
  <c r="G45" i="4"/>
  <c r="G48" i="4"/>
  <c r="G49" i="4"/>
  <c r="G50" i="4"/>
  <c r="G51" i="4"/>
  <c r="G52" i="4"/>
  <c r="G53" i="4"/>
  <c r="G54" i="4"/>
  <c r="G56" i="4"/>
  <c r="G57" i="4"/>
  <c r="G58" i="4"/>
  <c r="G59" i="4"/>
  <c r="G60" i="4"/>
  <c r="G63" i="4"/>
  <c r="G64" i="4"/>
  <c r="G21" i="4"/>
  <c r="G23" i="4"/>
  <c r="G24" i="4"/>
  <c r="G25" i="4"/>
  <c r="G26" i="4"/>
  <c r="G22" i="4"/>
  <c r="F147" i="4"/>
  <c r="F148" i="4"/>
  <c r="F149" i="4"/>
  <c r="E149" i="4"/>
  <c r="E148" i="4"/>
  <c r="E147" i="4"/>
  <c r="F177" i="3"/>
  <c r="F176" i="3"/>
  <c r="F175" i="3"/>
  <c r="F143" i="4"/>
  <c r="F144" i="4"/>
  <c r="F145" i="4"/>
  <c r="E145" i="4"/>
  <c r="E144" i="4"/>
  <c r="E143" i="4"/>
  <c r="F140" i="4"/>
  <c r="F141" i="4"/>
  <c r="E141" i="4"/>
  <c r="E140" i="4"/>
  <c r="F137" i="4"/>
  <c r="F138" i="4"/>
  <c r="E138" i="4"/>
  <c r="E137" i="4"/>
  <c r="F133" i="4"/>
  <c r="F134" i="4"/>
  <c r="F135" i="4"/>
  <c r="E135" i="4"/>
  <c r="E134" i="4"/>
  <c r="E133" i="4"/>
  <c r="F122" i="4"/>
  <c r="F109" i="4"/>
  <c r="E122" i="4"/>
  <c r="F115" i="4"/>
  <c r="E115" i="4"/>
  <c r="F113" i="4"/>
  <c r="E113" i="4"/>
  <c r="F111" i="4"/>
  <c r="E111" i="4"/>
  <c r="E109" i="4" s="1"/>
  <c r="E107" i="4" s="1"/>
  <c r="F107" i="4"/>
  <c r="F97" i="4"/>
  <c r="E97" i="4"/>
  <c r="F88" i="4"/>
  <c r="E88" i="4"/>
  <c r="F77" i="4"/>
  <c r="E77" i="4"/>
  <c r="F76" i="4"/>
  <c r="E76" i="4"/>
  <c r="F74" i="4"/>
  <c r="F93" i="4" s="1"/>
  <c r="E74" i="4"/>
  <c r="E93" i="4" s="1"/>
  <c r="F68" i="4"/>
  <c r="F62" i="4"/>
  <c r="F65" i="4"/>
  <c r="F61" i="4"/>
  <c r="F55" i="4"/>
  <c r="F47" i="4"/>
  <c r="F46" i="4"/>
  <c r="F42" i="4"/>
  <c r="F38" i="4"/>
  <c r="F37" i="4"/>
  <c r="F27" i="4"/>
  <c r="F21" i="4"/>
  <c r="E27" i="4"/>
  <c r="E62" i="4"/>
  <c r="E55" i="4"/>
  <c r="E47" i="4"/>
  <c r="E42" i="4"/>
  <c r="E38" i="4"/>
  <c r="E21" i="4"/>
  <c r="H30" i="3"/>
  <c r="I22" i="3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T22" i="3" s="1"/>
  <c r="U22" i="3" s="1"/>
  <c r="V22" i="3" s="1"/>
  <c r="W22" i="3" s="1"/>
  <c r="I23" i="3"/>
  <c r="I24" i="3"/>
  <c r="J24" i="3"/>
  <c r="K24" i="3" s="1"/>
  <c r="L24" i="3" s="1"/>
  <c r="M24" i="3" s="1"/>
  <c r="N24" i="3" s="1"/>
  <c r="O24" i="3" s="1"/>
  <c r="P24" i="3" s="1"/>
  <c r="Q24" i="3" s="1"/>
  <c r="R24" i="3" s="1"/>
  <c r="S24" i="3" s="1"/>
  <c r="T24" i="3" s="1"/>
  <c r="U24" i="3" s="1"/>
  <c r="V24" i="3" s="1"/>
  <c r="W24" i="3" s="1"/>
  <c r="I25" i="3"/>
  <c r="J25" i="3" s="1"/>
  <c r="K25" i="3"/>
  <c r="L25" i="3" s="1"/>
  <c r="M25" i="3" s="1"/>
  <c r="N25" i="3" s="1"/>
  <c r="O25" i="3" s="1"/>
  <c r="P25" i="3" s="1"/>
  <c r="Q25" i="3" s="1"/>
  <c r="R25" i="3" s="1"/>
  <c r="S25" i="3" s="1"/>
  <c r="T25" i="3" s="1"/>
  <c r="U25" i="3" s="1"/>
  <c r="V25" i="3" s="1"/>
  <c r="W25" i="3" s="1"/>
  <c r="I26" i="3"/>
  <c r="J26" i="3"/>
  <c r="K26" i="3" s="1"/>
  <c r="L26" i="3" s="1"/>
  <c r="M26" i="3" s="1"/>
  <c r="N26" i="3" s="1"/>
  <c r="O26" i="3" s="1"/>
  <c r="P26" i="3" s="1"/>
  <c r="Q26" i="3" s="1"/>
  <c r="R26" i="3" s="1"/>
  <c r="S26" i="3" s="1"/>
  <c r="T26" i="3" s="1"/>
  <c r="U26" i="3" s="1"/>
  <c r="V26" i="3" s="1"/>
  <c r="W26" i="3" s="1"/>
  <c r="I30" i="3"/>
  <c r="J30" i="3" s="1"/>
  <c r="K30" i="3" s="1"/>
  <c r="L30" i="3" s="1"/>
  <c r="M30" i="3" s="1"/>
  <c r="N30" i="3" s="1"/>
  <c r="O30" i="3" s="1"/>
  <c r="P30" i="3" s="1"/>
  <c r="Q30" i="3" s="1"/>
  <c r="R30" i="3" s="1"/>
  <c r="S30" i="3" s="1"/>
  <c r="T30" i="3" s="1"/>
  <c r="U30" i="3" s="1"/>
  <c r="V30" i="3" s="1"/>
  <c r="W30" i="3" s="1"/>
  <c r="I39" i="3"/>
  <c r="J40" i="3"/>
  <c r="K40" i="3" s="1"/>
  <c r="L40" i="3" s="1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I43" i="3"/>
  <c r="I44" i="3"/>
  <c r="J44" i="3"/>
  <c r="K44" i="3" s="1"/>
  <c r="L44" i="3"/>
  <c r="M44" i="3" s="1"/>
  <c r="N44" i="3" s="1"/>
  <c r="O44" i="3" s="1"/>
  <c r="P44" i="3" s="1"/>
  <c r="Q44" i="3" s="1"/>
  <c r="R44" i="3" s="1"/>
  <c r="S44" i="3" s="1"/>
  <c r="T44" i="3" s="1"/>
  <c r="U44" i="3" s="1"/>
  <c r="V44" i="3" s="1"/>
  <c r="W44" i="3" s="1"/>
  <c r="I45" i="3"/>
  <c r="J45" i="3" s="1"/>
  <c r="K45" i="3" s="1"/>
  <c r="L45" i="3" s="1"/>
  <c r="M45" i="3" s="1"/>
  <c r="N45" i="3" s="1"/>
  <c r="O45" i="3" s="1"/>
  <c r="P45" i="3" s="1"/>
  <c r="Q45" i="3" s="1"/>
  <c r="R45" i="3" s="1"/>
  <c r="S45" i="3" s="1"/>
  <c r="T45" i="3" s="1"/>
  <c r="U45" i="3" s="1"/>
  <c r="V45" i="3" s="1"/>
  <c r="W45" i="3" s="1"/>
  <c r="I48" i="3"/>
  <c r="J48" i="3"/>
  <c r="I49" i="3"/>
  <c r="I47" i="3" s="1"/>
  <c r="I50" i="3"/>
  <c r="J50" i="3"/>
  <c r="K50" i="3" s="1"/>
  <c r="L50" i="3" s="1"/>
  <c r="M50" i="3" s="1"/>
  <c r="N50" i="3" s="1"/>
  <c r="O50" i="3" s="1"/>
  <c r="P50" i="3" s="1"/>
  <c r="Q50" i="3" s="1"/>
  <c r="R50" i="3" s="1"/>
  <c r="S50" i="3" s="1"/>
  <c r="T50" i="3" s="1"/>
  <c r="U50" i="3" s="1"/>
  <c r="V50" i="3" s="1"/>
  <c r="W50" i="3" s="1"/>
  <c r="I51" i="3"/>
  <c r="J51" i="3" s="1"/>
  <c r="K51" i="3" s="1"/>
  <c r="L51" i="3" s="1"/>
  <c r="M51" i="3" s="1"/>
  <c r="N51" i="3" s="1"/>
  <c r="O51" i="3" s="1"/>
  <c r="P51" i="3" s="1"/>
  <c r="Q51" i="3" s="1"/>
  <c r="R51" i="3" s="1"/>
  <c r="S51" i="3" s="1"/>
  <c r="T51" i="3" s="1"/>
  <c r="U51" i="3" s="1"/>
  <c r="V51" i="3" s="1"/>
  <c r="W51" i="3" s="1"/>
  <c r="I52" i="3"/>
  <c r="J52" i="3"/>
  <c r="K52" i="3" s="1"/>
  <c r="L52" i="3" s="1"/>
  <c r="M52" i="3" s="1"/>
  <c r="N52" i="3" s="1"/>
  <c r="O52" i="3" s="1"/>
  <c r="P52" i="3" s="1"/>
  <c r="Q52" i="3" s="1"/>
  <c r="R52" i="3" s="1"/>
  <c r="S52" i="3" s="1"/>
  <c r="T52" i="3" s="1"/>
  <c r="U52" i="3" s="1"/>
  <c r="V52" i="3" s="1"/>
  <c r="W52" i="3" s="1"/>
  <c r="I53" i="3"/>
  <c r="J53" i="3" s="1"/>
  <c r="K53" i="3" s="1"/>
  <c r="L53" i="3" s="1"/>
  <c r="M53" i="3" s="1"/>
  <c r="N53" i="3" s="1"/>
  <c r="O53" i="3" s="1"/>
  <c r="P53" i="3" s="1"/>
  <c r="Q53" i="3" s="1"/>
  <c r="R53" i="3" s="1"/>
  <c r="S53" i="3" s="1"/>
  <c r="T53" i="3" s="1"/>
  <c r="U53" i="3" s="1"/>
  <c r="V53" i="3" s="1"/>
  <c r="W53" i="3" s="1"/>
  <c r="I54" i="3"/>
  <c r="J54" i="3"/>
  <c r="K54" i="3" s="1"/>
  <c r="L54" i="3" s="1"/>
  <c r="M54" i="3" s="1"/>
  <c r="N54" i="3" s="1"/>
  <c r="O54" i="3" s="1"/>
  <c r="P54" i="3" s="1"/>
  <c r="Q54" i="3" s="1"/>
  <c r="R54" i="3" s="1"/>
  <c r="S54" i="3" s="1"/>
  <c r="T54" i="3" s="1"/>
  <c r="U54" i="3" s="1"/>
  <c r="V54" i="3" s="1"/>
  <c r="W54" i="3" s="1"/>
  <c r="I56" i="3"/>
  <c r="J56" i="3"/>
  <c r="I57" i="3"/>
  <c r="J57" i="3" s="1"/>
  <c r="K57" i="3" s="1"/>
  <c r="L57" i="3" s="1"/>
  <c r="M57" i="3" s="1"/>
  <c r="N57" i="3" s="1"/>
  <c r="O57" i="3" s="1"/>
  <c r="P57" i="3" s="1"/>
  <c r="Q57" i="3" s="1"/>
  <c r="R57" i="3" s="1"/>
  <c r="S57" i="3" s="1"/>
  <c r="T57" i="3" s="1"/>
  <c r="U57" i="3" s="1"/>
  <c r="V57" i="3" s="1"/>
  <c r="W57" i="3" s="1"/>
  <c r="I58" i="3"/>
  <c r="J58" i="3"/>
  <c r="K58" i="3" s="1"/>
  <c r="L58" i="3" s="1"/>
  <c r="M58" i="3" s="1"/>
  <c r="N58" i="3" s="1"/>
  <c r="O58" i="3" s="1"/>
  <c r="P58" i="3" s="1"/>
  <c r="Q58" i="3" s="1"/>
  <c r="R58" i="3" s="1"/>
  <c r="S58" i="3" s="1"/>
  <c r="T58" i="3" s="1"/>
  <c r="U58" i="3" s="1"/>
  <c r="V58" i="3" s="1"/>
  <c r="W58" i="3" s="1"/>
  <c r="I59" i="3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T59" i="3" s="1"/>
  <c r="U59" i="3" s="1"/>
  <c r="V59" i="3" s="1"/>
  <c r="W59" i="3" s="1"/>
  <c r="I60" i="3"/>
  <c r="J60" i="3"/>
  <c r="K60" i="3" s="1"/>
  <c r="L60" i="3"/>
  <c r="M60" i="3" s="1"/>
  <c r="N60" i="3" s="1"/>
  <c r="O60" i="3" s="1"/>
  <c r="P60" i="3" s="1"/>
  <c r="Q60" i="3" s="1"/>
  <c r="R60" i="3" s="1"/>
  <c r="S60" i="3" s="1"/>
  <c r="T60" i="3" s="1"/>
  <c r="U60" i="3" s="1"/>
  <c r="V60" i="3" s="1"/>
  <c r="W60" i="3" s="1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H62" i="3"/>
  <c r="H49" i="3"/>
  <c r="H51" i="3"/>
  <c r="H53" i="3"/>
  <c r="H48" i="3"/>
  <c r="H44" i="3"/>
  <c r="H43" i="3"/>
  <c r="H42" i="3" s="1"/>
  <c r="H41" i="3"/>
  <c r="I41" i="3" s="1"/>
  <c r="J41" i="3" s="1"/>
  <c r="K41" i="3" s="1"/>
  <c r="L41" i="3" s="1"/>
  <c r="M41" i="3" s="1"/>
  <c r="N41" i="3" s="1"/>
  <c r="O41" i="3" s="1"/>
  <c r="P41" i="3" s="1"/>
  <c r="Q41" i="3" s="1"/>
  <c r="R41" i="3" s="1"/>
  <c r="S41" i="3" s="1"/>
  <c r="T41" i="3" s="1"/>
  <c r="U41" i="3" s="1"/>
  <c r="V41" i="3" s="1"/>
  <c r="W41" i="3" s="1"/>
  <c r="H31" i="3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H33" i="3"/>
  <c r="I33" i="3" s="1"/>
  <c r="J33" i="3" s="1"/>
  <c r="K33" i="3" s="1"/>
  <c r="L33" i="3" s="1"/>
  <c r="M33" i="3" s="1"/>
  <c r="N33" i="3" s="1"/>
  <c r="O33" i="3" s="1"/>
  <c r="P33" i="3" s="1"/>
  <c r="Q33" i="3" s="1"/>
  <c r="R33" i="3" s="1"/>
  <c r="S33" i="3" s="1"/>
  <c r="T33" i="3" s="1"/>
  <c r="U33" i="3" s="1"/>
  <c r="V33" i="3" s="1"/>
  <c r="W33" i="3" s="1"/>
  <c r="H35" i="3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G62" i="3"/>
  <c r="G57" i="3"/>
  <c r="H57" i="3" s="1"/>
  <c r="G58" i="3"/>
  <c r="H58" i="3" s="1"/>
  <c r="G59" i="3"/>
  <c r="H59" i="3" s="1"/>
  <c r="G60" i="3"/>
  <c r="H60" i="3" s="1"/>
  <c r="G56" i="3"/>
  <c r="H56" i="3" s="1"/>
  <c r="H55" i="3" s="1"/>
  <c r="G49" i="3"/>
  <c r="G50" i="3"/>
  <c r="H50" i="3" s="1"/>
  <c r="G51" i="3"/>
  <c r="G52" i="3"/>
  <c r="H52" i="3" s="1"/>
  <c r="G53" i="3"/>
  <c r="G54" i="3"/>
  <c r="H54" i="3" s="1"/>
  <c r="G48" i="3"/>
  <c r="G44" i="3"/>
  <c r="G45" i="3"/>
  <c r="H45" i="3" s="1"/>
  <c r="G43" i="3"/>
  <c r="G40" i="3"/>
  <c r="G41" i="3"/>
  <c r="G39" i="3"/>
  <c r="H39" i="3" s="1"/>
  <c r="G29" i="3"/>
  <c r="G30" i="3"/>
  <c r="G31" i="3"/>
  <c r="G32" i="3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G33" i="3"/>
  <c r="G34" i="3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G35" i="3"/>
  <c r="G36" i="3"/>
  <c r="H36" i="3" s="1"/>
  <c r="I36" i="3" s="1"/>
  <c r="J36" i="3" s="1"/>
  <c r="K36" i="3" s="1"/>
  <c r="L36" i="3" s="1"/>
  <c r="M36" i="3" s="1"/>
  <c r="N36" i="3" s="1"/>
  <c r="O36" i="3" s="1"/>
  <c r="P36" i="3" s="1"/>
  <c r="Q36" i="3" s="1"/>
  <c r="R36" i="3" s="1"/>
  <c r="S36" i="3" s="1"/>
  <c r="T36" i="3" s="1"/>
  <c r="U36" i="3" s="1"/>
  <c r="V36" i="3" s="1"/>
  <c r="W36" i="3" s="1"/>
  <c r="G27" i="3"/>
  <c r="G23" i="3"/>
  <c r="H23" i="3" s="1"/>
  <c r="G24" i="3"/>
  <c r="H24" i="3" s="1"/>
  <c r="G25" i="3"/>
  <c r="H25" i="3" s="1"/>
  <c r="G26" i="3"/>
  <c r="H26" i="3" s="1"/>
  <c r="G22" i="3"/>
  <c r="H22" i="3" s="1"/>
  <c r="C94" i="1" l="1"/>
  <c r="C96" i="1" s="1"/>
  <c r="B97" i="1" s="1"/>
  <c r="L42" i="7"/>
  <c r="M43" i="7"/>
  <c r="P55" i="7"/>
  <c r="Q56" i="7"/>
  <c r="L23" i="7"/>
  <c r="K21" i="7"/>
  <c r="M48" i="7"/>
  <c r="L47" i="7"/>
  <c r="M39" i="7"/>
  <c r="L38" i="7"/>
  <c r="N63" i="7"/>
  <c r="M62" i="7"/>
  <c r="N32" i="7"/>
  <c r="F124" i="7"/>
  <c r="E124" i="7"/>
  <c r="E139" i="7"/>
  <c r="I12" i="5"/>
  <c r="H11" i="4"/>
  <c r="K11" i="4" s="1"/>
  <c r="O11" i="4" s="1"/>
  <c r="K11" i="7"/>
  <c r="O11" i="7" s="1"/>
  <c r="I11" i="7"/>
  <c r="M12" i="5"/>
  <c r="N12" i="5"/>
  <c r="G66" i="4"/>
  <c r="G68" i="4" s="1"/>
  <c r="L24" i="5"/>
  <c r="K22" i="5"/>
  <c r="M40" i="5"/>
  <c r="L39" i="5"/>
  <c r="O57" i="5"/>
  <c r="N56" i="5"/>
  <c r="N33" i="5"/>
  <c r="O49" i="5"/>
  <c r="N48" i="5"/>
  <c r="O64" i="5"/>
  <c r="N63" i="5"/>
  <c r="N43" i="5"/>
  <c r="O44" i="5"/>
  <c r="E125" i="5"/>
  <c r="F140" i="5"/>
  <c r="K63" i="4"/>
  <c r="J62" i="4"/>
  <c r="H55" i="4"/>
  <c r="I62" i="4"/>
  <c r="H62" i="4"/>
  <c r="I56" i="4"/>
  <c r="I48" i="4"/>
  <c r="J32" i="4"/>
  <c r="H42" i="4"/>
  <c r="I43" i="4"/>
  <c r="I39" i="4"/>
  <c r="I23" i="4"/>
  <c r="F125" i="4"/>
  <c r="E125" i="4"/>
  <c r="E37" i="4"/>
  <c r="E46" i="4" s="1"/>
  <c r="E61" i="4" s="1"/>
  <c r="E65" i="4" s="1"/>
  <c r="E68" i="4" s="1"/>
  <c r="J11" i="4"/>
  <c r="I38" i="3"/>
  <c r="J55" i="3"/>
  <c r="I55" i="3"/>
  <c r="K48" i="3"/>
  <c r="I42" i="3"/>
  <c r="J43" i="3"/>
  <c r="K56" i="3"/>
  <c r="J49" i="3"/>
  <c r="K49" i="3" s="1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J39" i="3"/>
  <c r="I21" i="3"/>
  <c r="J23" i="3"/>
  <c r="H21" i="3"/>
  <c r="H47" i="3"/>
  <c r="G21" i="3"/>
  <c r="G37" i="3" s="1"/>
  <c r="G42" i="3"/>
  <c r="G47" i="3"/>
  <c r="G55" i="3"/>
  <c r="G38" i="3"/>
  <c r="M11" i="4" l="1"/>
  <c r="N11" i="4" s="1"/>
  <c r="O32" i="7"/>
  <c r="R56" i="7"/>
  <c r="Q55" i="7"/>
  <c r="N43" i="7"/>
  <c r="M42" i="7"/>
  <c r="N62" i="7"/>
  <c r="O63" i="7"/>
  <c r="M38" i="7"/>
  <c r="N39" i="7"/>
  <c r="M47" i="7"/>
  <c r="N48" i="7"/>
  <c r="L21" i="7"/>
  <c r="M23" i="7"/>
  <c r="I11" i="4"/>
  <c r="P44" i="5"/>
  <c r="O43" i="5"/>
  <c r="O33" i="5"/>
  <c r="O63" i="5"/>
  <c r="P64" i="5"/>
  <c r="O48" i="5"/>
  <c r="P49" i="5"/>
  <c r="O56" i="5"/>
  <c r="P57" i="5"/>
  <c r="M39" i="5"/>
  <c r="N40" i="5"/>
  <c r="L22" i="5"/>
  <c r="M24" i="5"/>
  <c r="I42" i="4"/>
  <c r="J43" i="4"/>
  <c r="K32" i="4"/>
  <c r="I47" i="4"/>
  <c r="J48" i="4"/>
  <c r="K62" i="4"/>
  <c r="L63" i="4"/>
  <c r="J23" i="4"/>
  <c r="I21" i="4"/>
  <c r="J39" i="4"/>
  <c r="I38" i="4"/>
  <c r="J56" i="4"/>
  <c r="I55" i="4"/>
  <c r="K23" i="3"/>
  <c r="J21" i="3"/>
  <c r="J42" i="3"/>
  <c r="K43" i="3"/>
  <c r="L48" i="3"/>
  <c r="K47" i="3"/>
  <c r="J38" i="3"/>
  <c r="K39" i="3"/>
  <c r="K55" i="3"/>
  <c r="L56" i="3"/>
  <c r="J47" i="3"/>
  <c r="G46" i="3"/>
  <c r="G61" i="3" s="1"/>
  <c r="G65" i="3" s="1"/>
  <c r="G66" i="3" s="1"/>
  <c r="N42" i="7" l="1"/>
  <c r="O43" i="7"/>
  <c r="R55" i="7"/>
  <c r="S56" i="7"/>
  <c r="N23" i="7"/>
  <c r="M21" i="7"/>
  <c r="N47" i="7"/>
  <c r="O48" i="7"/>
  <c r="O39" i="7"/>
  <c r="N38" i="7"/>
  <c r="P63" i="7"/>
  <c r="O62" i="7"/>
  <c r="P32" i="7"/>
  <c r="N24" i="5"/>
  <c r="M22" i="5"/>
  <c r="O40" i="5"/>
  <c r="N39" i="5"/>
  <c r="Q57" i="5"/>
  <c r="P56" i="5"/>
  <c r="Q49" i="5"/>
  <c r="P48" i="5"/>
  <c r="Q64" i="5"/>
  <c r="P63" i="5"/>
  <c r="P33" i="5"/>
  <c r="P43" i="5"/>
  <c r="Q44" i="5"/>
  <c r="M63" i="4"/>
  <c r="L62" i="4"/>
  <c r="J47" i="4"/>
  <c r="K48" i="4"/>
  <c r="L32" i="4"/>
  <c r="J42" i="4"/>
  <c r="K43" i="4"/>
  <c r="J55" i="4"/>
  <c r="K56" i="4"/>
  <c r="J38" i="4"/>
  <c r="K39" i="4"/>
  <c r="J21" i="4"/>
  <c r="K23" i="4"/>
  <c r="G68" i="3"/>
  <c r="K42" i="3"/>
  <c r="L43" i="3"/>
  <c r="L55" i="3"/>
  <c r="M56" i="3"/>
  <c r="K38" i="3"/>
  <c r="L39" i="3"/>
  <c r="L47" i="3"/>
  <c r="M48" i="3"/>
  <c r="K21" i="3"/>
  <c r="L23" i="3"/>
  <c r="P62" i="7" l="1"/>
  <c r="Q63" i="7"/>
  <c r="Q32" i="7"/>
  <c r="O47" i="7"/>
  <c r="P48" i="7"/>
  <c r="T56" i="7"/>
  <c r="S55" i="7"/>
  <c r="P43" i="7"/>
  <c r="O42" i="7"/>
  <c r="O38" i="7"/>
  <c r="P39" i="7"/>
  <c r="N21" i="7"/>
  <c r="O23" i="7"/>
  <c r="R44" i="5"/>
  <c r="Q43" i="5"/>
  <c r="Q33" i="5"/>
  <c r="Q63" i="5"/>
  <c r="R64" i="5"/>
  <c r="Q48" i="5"/>
  <c r="R49" i="5"/>
  <c r="Q56" i="5"/>
  <c r="R57" i="5"/>
  <c r="O39" i="5"/>
  <c r="P40" i="5"/>
  <c r="N22" i="5"/>
  <c r="O24" i="5"/>
  <c r="M62" i="4"/>
  <c r="N63" i="4"/>
  <c r="L23" i="4"/>
  <c r="K21" i="4"/>
  <c r="L39" i="4"/>
  <c r="K38" i="4"/>
  <c r="L56" i="4"/>
  <c r="K55" i="4"/>
  <c r="K42" i="4"/>
  <c r="L43" i="4"/>
  <c r="M32" i="4"/>
  <c r="K47" i="4"/>
  <c r="L48" i="4"/>
  <c r="L42" i="3"/>
  <c r="M43" i="3"/>
  <c r="M23" i="3"/>
  <c r="L21" i="3"/>
  <c r="M47" i="3"/>
  <c r="N48" i="3"/>
  <c r="L38" i="3"/>
  <c r="M39" i="3"/>
  <c r="M55" i="3"/>
  <c r="N56" i="3"/>
  <c r="T55" i="7" l="1"/>
  <c r="U56" i="7"/>
  <c r="P23" i="7"/>
  <c r="O21" i="7"/>
  <c r="Q39" i="7"/>
  <c r="P38" i="7"/>
  <c r="P47" i="7"/>
  <c r="Q48" i="7"/>
  <c r="R32" i="7"/>
  <c r="R63" i="7"/>
  <c r="Q62" i="7"/>
  <c r="P42" i="7"/>
  <c r="Q43" i="7"/>
  <c r="P24" i="5"/>
  <c r="O22" i="5"/>
  <c r="Q40" i="5"/>
  <c r="P39" i="5"/>
  <c r="S57" i="5"/>
  <c r="R56" i="5"/>
  <c r="S49" i="5"/>
  <c r="R48" i="5"/>
  <c r="S64" i="5"/>
  <c r="R63" i="5"/>
  <c r="R33" i="5"/>
  <c r="R43" i="5"/>
  <c r="S44" i="5"/>
  <c r="L47" i="4"/>
  <c r="M48" i="4"/>
  <c r="N32" i="4"/>
  <c r="L42" i="4"/>
  <c r="M43" i="4"/>
  <c r="O63" i="4"/>
  <c r="N62" i="4"/>
  <c r="L55" i="4"/>
  <c r="M56" i="4"/>
  <c r="L38" i="4"/>
  <c r="M39" i="4"/>
  <c r="L21" i="4"/>
  <c r="M23" i="4"/>
  <c r="N55" i="3"/>
  <c r="O56" i="3"/>
  <c r="M38" i="3"/>
  <c r="N39" i="3"/>
  <c r="N47" i="3"/>
  <c r="O48" i="3"/>
  <c r="M42" i="3"/>
  <c r="N43" i="3"/>
  <c r="M21" i="3"/>
  <c r="N23" i="3"/>
  <c r="R43" i="7" l="1"/>
  <c r="Q42" i="7"/>
  <c r="S32" i="7"/>
  <c r="Q47" i="7"/>
  <c r="R48" i="7"/>
  <c r="V56" i="7"/>
  <c r="U55" i="7"/>
  <c r="R62" i="7"/>
  <c r="S63" i="7"/>
  <c r="Q38" i="7"/>
  <c r="R39" i="7"/>
  <c r="P21" i="7"/>
  <c r="Q23" i="7"/>
  <c r="S63" i="5"/>
  <c r="T64" i="5"/>
  <c r="T44" i="5"/>
  <c r="S43" i="5"/>
  <c r="S33" i="5"/>
  <c r="S48" i="5"/>
  <c r="T49" i="5"/>
  <c r="S56" i="5"/>
  <c r="T57" i="5"/>
  <c r="Q39" i="5"/>
  <c r="R40" i="5"/>
  <c r="P22" i="5"/>
  <c r="Q24" i="5"/>
  <c r="O62" i="4"/>
  <c r="P63" i="4"/>
  <c r="M42" i="4"/>
  <c r="N43" i="4"/>
  <c r="O32" i="4"/>
  <c r="M47" i="4"/>
  <c r="N48" i="4"/>
  <c r="N23" i="4"/>
  <c r="M21" i="4"/>
  <c r="N39" i="4"/>
  <c r="M38" i="4"/>
  <c r="N56" i="4"/>
  <c r="M55" i="4"/>
  <c r="O23" i="3"/>
  <c r="N21" i="3"/>
  <c r="N42" i="3"/>
  <c r="O43" i="3"/>
  <c r="P48" i="3"/>
  <c r="O47" i="3"/>
  <c r="N38" i="3"/>
  <c r="O39" i="3"/>
  <c r="P56" i="3"/>
  <c r="O55" i="3"/>
  <c r="R23" i="7" l="1"/>
  <c r="Q21" i="7"/>
  <c r="S39" i="7"/>
  <c r="R38" i="7"/>
  <c r="T63" i="7"/>
  <c r="S62" i="7"/>
  <c r="R47" i="7"/>
  <c r="S48" i="7"/>
  <c r="T32" i="7"/>
  <c r="V55" i="7"/>
  <c r="W56" i="7"/>
  <c r="W55" i="7" s="1"/>
  <c r="R42" i="7"/>
  <c r="S43" i="7"/>
  <c r="T43" i="5"/>
  <c r="U44" i="5"/>
  <c r="R24" i="5"/>
  <c r="Q22" i="5"/>
  <c r="S40" i="5"/>
  <c r="R39" i="5"/>
  <c r="U57" i="5"/>
  <c r="T56" i="5"/>
  <c r="U49" i="5"/>
  <c r="T48" i="5"/>
  <c r="U64" i="5"/>
  <c r="T63" i="5"/>
  <c r="T33" i="5"/>
  <c r="N47" i="4"/>
  <c r="O48" i="4"/>
  <c r="P32" i="4"/>
  <c r="N42" i="4"/>
  <c r="O43" i="4"/>
  <c r="Q63" i="4"/>
  <c r="P62" i="4"/>
  <c r="N55" i="4"/>
  <c r="O56" i="4"/>
  <c r="N38" i="4"/>
  <c r="O39" i="4"/>
  <c r="N21" i="4"/>
  <c r="O23" i="4"/>
  <c r="O38" i="3"/>
  <c r="P39" i="3"/>
  <c r="O42" i="3"/>
  <c r="P43" i="3"/>
  <c r="P55" i="3"/>
  <c r="Q56" i="3"/>
  <c r="P47" i="3"/>
  <c r="Q48" i="3"/>
  <c r="O21" i="3"/>
  <c r="P23" i="3"/>
  <c r="T43" i="7" l="1"/>
  <c r="S42" i="7"/>
  <c r="U32" i="7"/>
  <c r="S47" i="7"/>
  <c r="T48" i="7"/>
  <c r="T62" i="7"/>
  <c r="U63" i="7"/>
  <c r="S38" i="7"/>
  <c r="T39" i="7"/>
  <c r="R21" i="7"/>
  <c r="S23" i="7"/>
  <c r="U63" i="5"/>
  <c r="V64" i="5"/>
  <c r="U48" i="5"/>
  <c r="V49" i="5"/>
  <c r="S39" i="5"/>
  <c r="T40" i="5"/>
  <c r="U33" i="5"/>
  <c r="V44" i="5"/>
  <c r="U43" i="5"/>
  <c r="U56" i="5"/>
  <c r="V57" i="5"/>
  <c r="R22" i="5"/>
  <c r="S24" i="5"/>
  <c r="Q62" i="4"/>
  <c r="R63" i="4"/>
  <c r="P23" i="4"/>
  <c r="O21" i="4"/>
  <c r="P39" i="4"/>
  <c r="O38" i="4"/>
  <c r="P56" i="4"/>
  <c r="O55" i="4"/>
  <c r="O42" i="4"/>
  <c r="P43" i="4"/>
  <c r="Q32" i="4"/>
  <c r="O47" i="4"/>
  <c r="P48" i="4"/>
  <c r="Q23" i="3"/>
  <c r="P21" i="3"/>
  <c r="Q47" i="3"/>
  <c r="R48" i="3"/>
  <c r="Q55" i="3"/>
  <c r="R56" i="3"/>
  <c r="P42" i="3"/>
  <c r="Q43" i="3"/>
  <c r="P38" i="3"/>
  <c r="Q39" i="3"/>
  <c r="T23" i="7" l="1"/>
  <c r="S21" i="7"/>
  <c r="U39" i="7"/>
  <c r="T38" i="7"/>
  <c r="V63" i="7"/>
  <c r="U62" i="7"/>
  <c r="T47" i="7"/>
  <c r="U48" i="7"/>
  <c r="V32" i="7"/>
  <c r="T42" i="7"/>
  <c r="U43" i="7"/>
  <c r="V43" i="5"/>
  <c r="W44" i="5"/>
  <c r="W43" i="5" s="1"/>
  <c r="T24" i="5"/>
  <c r="S22" i="5"/>
  <c r="W57" i="5"/>
  <c r="W56" i="5" s="1"/>
  <c r="V56" i="5"/>
  <c r="V33" i="5"/>
  <c r="U40" i="5"/>
  <c r="T39" i="5"/>
  <c r="W49" i="5"/>
  <c r="W48" i="5" s="1"/>
  <c r="V48" i="5"/>
  <c r="W64" i="5"/>
  <c r="W63" i="5" s="1"/>
  <c r="V63" i="5"/>
  <c r="P47" i="4"/>
  <c r="Q48" i="4"/>
  <c r="R32" i="4"/>
  <c r="P42" i="4"/>
  <c r="Q43" i="4"/>
  <c r="S63" i="4"/>
  <c r="R62" i="4"/>
  <c r="P55" i="4"/>
  <c r="Q56" i="4"/>
  <c r="P38" i="4"/>
  <c r="Q39" i="4"/>
  <c r="P21" i="4"/>
  <c r="Q23" i="4"/>
  <c r="Q38" i="3"/>
  <c r="R39" i="3"/>
  <c r="Q42" i="3"/>
  <c r="R43" i="3"/>
  <c r="R55" i="3"/>
  <c r="S56" i="3"/>
  <c r="R47" i="3"/>
  <c r="S48" i="3"/>
  <c r="Q21" i="3"/>
  <c r="R23" i="3"/>
  <c r="V43" i="7" l="1"/>
  <c r="U42" i="7"/>
  <c r="W32" i="7"/>
  <c r="U47" i="7"/>
  <c r="V48" i="7"/>
  <c r="V62" i="7"/>
  <c r="W63" i="7"/>
  <c r="W62" i="7" s="1"/>
  <c r="U38" i="7"/>
  <c r="V39" i="7"/>
  <c r="T21" i="7"/>
  <c r="U23" i="7"/>
  <c r="U39" i="5"/>
  <c r="V40" i="5"/>
  <c r="T22" i="5"/>
  <c r="U24" i="5"/>
  <c r="W33" i="5"/>
  <c r="S62" i="4"/>
  <c r="T63" i="4"/>
  <c r="Q42" i="4"/>
  <c r="R43" i="4"/>
  <c r="S32" i="4"/>
  <c r="Q47" i="4"/>
  <c r="R48" i="4"/>
  <c r="R23" i="4"/>
  <c r="Q21" i="4"/>
  <c r="R39" i="4"/>
  <c r="Q38" i="4"/>
  <c r="R56" i="4"/>
  <c r="Q55" i="4"/>
  <c r="S47" i="3"/>
  <c r="T48" i="3"/>
  <c r="T56" i="3"/>
  <c r="S55" i="3"/>
  <c r="R42" i="3"/>
  <c r="S43" i="3"/>
  <c r="R38" i="3"/>
  <c r="S39" i="3"/>
  <c r="R21" i="3"/>
  <c r="S23" i="3"/>
  <c r="V23" i="7" l="1"/>
  <c r="U21" i="7"/>
  <c r="W39" i="7"/>
  <c r="W38" i="7" s="1"/>
  <c r="V38" i="7"/>
  <c r="V47" i="7"/>
  <c r="W48" i="7"/>
  <c r="W47" i="7" s="1"/>
  <c r="V42" i="7"/>
  <c r="W43" i="7"/>
  <c r="W42" i="7" s="1"/>
  <c r="V24" i="5"/>
  <c r="U22" i="5"/>
  <c r="W40" i="5"/>
  <c r="W39" i="5" s="1"/>
  <c r="V39" i="5"/>
  <c r="R47" i="4"/>
  <c r="S48" i="4"/>
  <c r="T32" i="4"/>
  <c r="S43" i="4"/>
  <c r="R42" i="4"/>
  <c r="U63" i="4"/>
  <c r="T62" i="4"/>
  <c r="R55" i="4"/>
  <c r="S56" i="4"/>
  <c r="R38" i="4"/>
  <c r="S39" i="4"/>
  <c r="R21" i="4"/>
  <c r="S23" i="4"/>
  <c r="S21" i="3"/>
  <c r="T23" i="3"/>
  <c r="S38" i="3"/>
  <c r="T39" i="3"/>
  <c r="S42" i="3"/>
  <c r="T43" i="3"/>
  <c r="T47" i="3"/>
  <c r="U48" i="3"/>
  <c r="T55" i="3"/>
  <c r="U56" i="3"/>
  <c r="V21" i="7" l="1"/>
  <c r="W23" i="7"/>
  <c r="W21" i="7" s="1"/>
  <c r="V22" i="5"/>
  <c r="W24" i="5"/>
  <c r="W22" i="5" s="1"/>
  <c r="U62" i="4"/>
  <c r="V63" i="4"/>
  <c r="S42" i="4"/>
  <c r="T43" i="4"/>
  <c r="T23" i="4"/>
  <c r="S21" i="4"/>
  <c r="T39" i="4"/>
  <c r="S38" i="4"/>
  <c r="T56" i="4"/>
  <c r="S55" i="4"/>
  <c r="U32" i="4"/>
  <c r="S47" i="4"/>
  <c r="T48" i="4"/>
  <c r="U55" i="3"/>
  <c r="V56" i="3"/>
  <c r="U47" i="3"/>
  <c r="V48" i="3"/>
  <c r="T42" i="3"/>
  <c r="U43" i="3"/>
  <c r="T38" i="3"/>
  <c r="U39" i="3"/>
  <c r="T21" i="3"/>
  <c r="U23" i="3"/>
  <c r="T47" i="4" l="1"/>
  <c r="U48" i="4"/>
  <c r="V32" i="4"/>
  <c r="U43" i="4"/>
  <c r="T42" i="4"/>
  <c r="W63" i="4"/>
  <c r="W62" i="4" s="1"/>
  <c r="V62" i="4"/>
  <c r="T55" i="4"/>
  <c r="U56" i="4"/>
  <c r="T38" i="4"/>
  <c r="U39" i="4"/>
  <c r="T21" i="4"/>
  <c r="U23" i="4"/>
  <c r="U21" i="3"/>
  <c r="V23" i="3"/>
  <c r="U38" i="3"/>
  <c r="V39" i="3"/>
  <c r="U42" i="3"/>
  <c r="V43" i="3"/>
  <c r="V47" i="3"/>
  <c r="W48" i="3"/>
  <c r="W47" i="3" s="1"/>
  <c r="V55" i="3"/>
  <c r="W56" i="3"/>
  <c r="W55" i="3" s="1"/>
  <c r="V23" i="4" l="1"/>
  <c r="U21" i="4"/>
  <c r="V39" i="4"/>
  <c r="U38" i="4"/>
  <c r="V56" i="4"/>
  <c r="U55" i="4"/>
  <c r="U42" i="4"/>
  <c r="V43" i="4"/>
  <c r="W32" i="4"/>
  <c r="U47" i="4"/>
  <c r="V48" i="4"/>
  <c r="V42" i="3"/>
  <c r="W43" i="3"/>
  <c r="W42" i="3" s="1"/>
  <c r="V38" i="3"/>
  <c r="W39" i="3"/>
  <c r="W38" i="3" s="1"/>
  <c r="V21" i="3"/>
  <c r="W23" i="3"/>
  <c r="W21" i="3" s="1"/>
  <c r="V47" i="4" l="1"/>
  <c r="W48" i="4"/>
  <c r="W47" i="4" s="1"/>
  <c r="W43" i="4"/>
  <c r="W42" i="4" s="1"/>
  <c r="V42" i="4"/>
  <c r="V55" i="4"/>
  <c r="W56" i="4"/>
  <c r="W55" i="4" s="1"/>
  <c r="V38" i="4"/>
  <c r="W39" i="4"/>
  <c r="W38" i="4" s="1"/>
  <c r="V21" i="4"/>
  <c r="W23" i="4"/>
  <c r="W21" i="4" s="1"/>
  <c r="F115" i="3" l="1"/>
  <c r="F113" i="3" s="1"/>
  <c r="E115" i="3"/>
  <c r="D115" i="3"/>
  <c r="D113" i="3" s="1"/>
  <c r="E113" i="3"/>
  <c r="E107" i="3" s="1"/>
  <c r="E111" i="3"/>
  <c r="D111" i="3"/>
  <c r="F109" i="3"/>
  <c r="D109" i="3"/>
  <c r="F97" i="3"/>
  <c r="E97" i="3"/>
  <c r="D97" i="3"/>
  <c r="F77" i="3"/>
  <c r="F76" i="3" s="1"/>
  <c r="F74" i="3" s="1"/>
  <c r="E77" i="3"/>
  <c r="E76" i="3" s="1"/>
  <c r="E74" i="3" s="1"/>
  <c r="D77" i="3"/>
  <c r="D76" i="3" s="1"/>
  <c r="D74" i="3" s="1"/>
  <c r="F62" i="3"/>
  <c r="E62" i="3"/>
  <c r="D62" i="3"/>
  <c r="F55" i="3"/>
  <c r="E55" i="3"/>
  <c r="D55" i="3"/>
  <c r="F47" i="3"/>
  <c r="E47" i="3"/>
  <c r="D47" i="3"/>
  <c r="F42" i="3"/>
  <c r="E42" i="3"/>
  <c r="D42" i="3"/>
  <c r="F38" i="3"/>
  <c r="E38" i="3"/>
  <c r="D38" i="3"/>
  <c r="F27" i="3"/>
  <c r="E27" i="3"/>
  <c r="D27" i="3"/>
  <c r="F21" i="3"/>
  <c r="F37" i="3" s="1"/>
  <c r="F46" i="3" s="1"/>
  <c r="E21" i="3"/>
  <c r="E175" i="3" s="1"/>
  <c r="D21" i="3"/>
  <c r="D176" i="3" s="1"/>
  <c r="D175" i="3" l="1"/>
  <c r="D177" i="3"/>
  <c r="E177" i="3"/>
  <c r="E176" i="3"/>
  <c r="E169" i="3"/>
  <c r="D88" i="3"/>
  <c r="D172" i="3" s="1"/>
  <c r="F88" i="3"/>
  <c r="D107" i="3"/>
  <c r="D125" i="3" s="1"/>
  <c r="F107" i="3"/>
  <c r="E125" i="3"/>
  <c r="E88" i="3"/>
  <c r="F61" i="3"/>
  <c r="F65" i="3" s="1"/>
  <c r="F68" i="3" s="1"/>
  <c r="D37" i="3"/>
  <c r="D46" i="3" s="1"/>
  <c r="D61" i="3" s="1"/>
  <c r="D65" i="3" s="1"/>
  <c r="D68" i="3" s="1"/>
  <c r="E37" i="3"/>
  <c r="E46" i="3" s="1"/>
  <c r="E61" i="3" s="1"/>
  <c r="E65" i="3" s="1"/>
  <c r="E68" i="3" s="1"/>
  <c r="E171" i="3" l="1"/>
  <c r="E172" i="3"/>
  <c r="E173" i="3"/>
  <c r="F125" i="3"/>
  <c r="F168" i="3"/>
  <c r="F169" i="3"/>
  <c r="F171" i="3"/>
  <c r="F172" i="3"/>
  <c r="F173" i="3"/>
  <c r="D162" i="3"/>
  <c r="D161" i="3"/>
  <c r="E93" i="3"/>
  <c r="E168" i="3" s="1"/>
  <c r="E165" i="3"/>
  <c r="E166" i="3"/>
  <c r="E161" i="3"/>
  <c r="E162" i="3"/>
  <c r="E163" i="3"/>
  <c r="F161" i="3"/>
  <c r="F162" i="3"/>
  <c r="F165" i="3"/>
  <c r="F166" i="3"/>
  <c r="F93" i="3"/>
  <c r="F163" i="3" s="1"/>
  <c r="D165" i="3"/>
  <c r="D166" i="3"/>
  <c r="D173" i="3"/>
  <c r="D171" i="3"/>
  <c r="D93" i="3"/>
  <c r="D163" i="3" s="1"/>
  <c r="D169" i="3"/>
  <c r="D168" i="3"/>
  <c r="F11" i="3" l="1"/>
  <c r="I11" i="3" s="1"/>
  <c r="M11" i="3" l="1"/>
  <c r="L11" i="3"/>
  <c r="G11" i="3"/>
  <c r="J11" i="3" s="1"/>
  <c r="N11" i="3" s="1"/>
  <c r="B63" i="1"/>
  <c r="C65" i="1"/>
  <c r="C66" i="1"/>
  <c r="C68" i="1"/>
  <c r="C64" i="1"/>
  <c r="B56" i="1"/>
  <c r="B54" i="1"/>
  <c r="C63" i="1" l="1"/>
  <c r="L11" i="7"/>
  <c r="L11" i="4"/>
  <c r="H11" i="3"/>
  <c r="K11" i="3" s="1"/>
  <c r="B52" i="1"/>
  <c r="L41" i="1"/>
  <c r="J39" i="1"/>
  <c r="L12" i="5" l="1"/>
  <c r="I38" i="1"/>
  <c r="B57" i="1"/>
  <c r="C53" i="1" s="1"/>
  <c r="G59" i="1" l="1"/>
  <c r="I31" i="1"/>
  <c r="I47" i="1"/>
  <c r="I44" i="1"/>
  <c r="I35" i="1"/>
  <c r="I32" i="1"/>
  <c r="I46" i="1"/>
  <c r="I43" i="1"/>
  <c r="I34" i="1"/>
  <c r="D14" i="4"/>
  <c r="E45" i="1"/>
  <c r="F45" i="1" s="1"/>
  <c r="E42" i="1"/>
  <c r="F42" i="1" s="1"/>
  <c r="I42" i="1"/>
  <c r="I30" i="1"/>
  <c r="I45" i="1"/>
  <c r="E33" i="1"/>
  <c r="F33" i="1" s="1"/>
  <c r="I33" i="1"/>
  <c r="G12" i="4"/>
  <c r="G10" i="4"/>
  <c r="G13" i="4"/>
  <c r="G9" i="4"/>
  <c r="C52" i="1"/>
  <c r="F59" i="1" s="1"/>
  <c r="C57" i="1"/>
  <c r="C54" i="1"/>
  <c r="H59" i="1" s="1"/>
  <c r="C56" i="1"/>
  <c r="J59" i="1" s="1"/>
  <c r="I8" i="3" l="1"/>
  <c r="G14" i="4"/>
  <c r="J7" i="4"/>
  <c r="N7" i="4" s="1"/>
  <c r="E7" i="4"/>
  <c r="K7" i="4" s="1"/>
  <c r="L35" i="1"/>
  <c r="L31" i="1"/>
  <c r="L47" i="1"/>
  <c r="L46" i="1"/>
  <c r="L43" i="1"/>
  <c r="L44" i="1"/>
  <c r="L34" i="1"/>
  <c r="L32" i="1"/>
  <c r="L30" i="1" s="1"/>
  <c r="J35" i="1"/>
  <c r="J31" i="1"/>
  <c r="J47" i="1"/>
  <c r="J46" i="1"/>
  <c r="J44" i="1"/>
  <c r="J43" i="1"/>
  <c r="J34" i="1"/>
  <c r="J32" i="1"/>
  <c r="J30" i="1" s="1"/>
  <c r="F13" i="3"/>
  <c r="G13" i="3" s="1"/>
  <c r="J13" i="3" s="1"/>
  <c r="N13" i="3" s="1"/>
  <c r="H47" i="1"/>
  <c r="H46" i="1"/>
  <c r="H43" i="1"/>
  <c r="H35" i="1"/>
  <c r="H34" i="1"/>
  <c r="H44" i="1"/>
  <c r="H32" i="1"/>
  <c r="H31" i="1"/>
  <c r="D48" i="1"/>
  <c r="E30" i="1"/>
  <c r="G13" i="7"/>
  <c r="G10" i="7"/>
  <c r="G12" i="7"/>
  <c r="J12" i="7" s="1"/>
  <c r="G9" i="7"/>
  <c r="G14" i="5"/>
  <c r="G13" i="5"/>
  <c r="G11" i="5"/>
  <c r="G10" i="5"/>
  <c r="F10" i="3"/>
  <c r="G10" i="3" s="1"/>
  <c r="F12" i="3"/>
  <c r="F9" i="3"/>
  <c r="H9" i="4"/>
  <c r="J9" i="4"/>
  <c r="J12" i="4"/>
  <c r="H12" i="4"/>
  <c r="K12" i="4" s="1"/>
  <c r="O12" i="4" s="1"/>
  <c r="J10" i="4"/>
  <c r="N10" i="4" s="1"/>
  <c r="H10" i="4"/>
  <c r="I10" i="4" s="1"/>
  <c r="J8" i="4"/>
  <c r="E8" i="4"/>
  <c r="E14" i="4" s="1"/>
  <c r="J13" i="4"/>
  <c r="N13" i="4" s="1"/>
  <c r="H13" i="4"/>
  <c r="K13" i="4" s="1"/>
  <c r="O13" i="4" s="1"/>
  <c r="D8" i="3" l="1"/>
  <c r="E8" i="3" s="1"/>
  <c r="K8" i="3" s="1"/>
  <c r="I13" i="3"/>
  <c r="F7" i="4"/>
  <c r="L7" i="4" s="1"/>
  <c r="E7" i="7"/>
  <c r="K7" i="7" s="1"/>
  <c r="O7" i="7" s="1"/>
  <c r="D14" i="7"/>
  <c r="J7" i="7"/>
  <c r="N7" i="7" s="1"/>
  <c r="D7" i="3"/>
  <c r="J7" i="3" s="1"/>
  <c r="N7" i="3" s="1"/>
  <c r="I7" i="3"/>
  <c r="M7" i="3" s="1"/>
  <c r="C14" i="3"/>
  <c r="D15" i="5"/>
  <c r="E8" i="5"/>
  <c r="K8" i="5" s="1"/>
  <c r="O8" i="5" s="1"/>
  <c r="J8" i="5"/>
  <c r="N8" i="5" s="1"/>
  <c r="F8" i="5"/>
  <c r="L8" i="5" s="1"/>
  <c r="F14" i="3"/>
  <c r="J14" i="4"/>
  <c r="H29" i="4" s="1"/>
  <c r="I29" i="4" s="1"/>
  <c r="N12" i="7"/>
  <c r="M12" i="7"/>
  <c r="K9" i="4"/>
  <c r="O9" i="4" s="1"/>
  <c r="H14" i="4"/>
  <c r="G15" i="5"/>
  <c r="G14" i="7"/>
  <c r="J42" i="1"/>
  <c r="J45" i="1"/>
  <c r="L45" i="1"/>
  <c r="H30" i="1"/>
  <c r="G32" i="1"/>
  <c r="G30" i="1" s="1"/>
  <c r="H45" i="1"/>
  <c r="G47" i="1"/>
  <c r="G45" i="1" s="1"/>
  <c r="L42" i="1"/>
  <c r="F30" i="1"/>
  <c r="F48" i="1" s="1"/>
  <c r="E48" i="1"/>
  <c r="H42" i="1"/>
  <c r="G44" i="1"/>
  <c r="G42" i="1" s="1"/>
  <c r="H33" i="1"/>
  <c r="G35" i="1"/>
  <c r="G33" i="1" s="1"/>
  <c r="J33" i="1"/>
  <c r="L33" i="1"/>
  <c r="I10" i="3"/>
  <c r="M10" i="3" s="1"/>
  <c r="I12" i="4"/>
  <c r="L12" i="4" s="1"/>
  <c r="M9" i="4"/>
  <c r="N9" i="4"/>
  <c r="G9" i="3"/>
  <c r="I9" i="3"/>
  <c r="H10" i="5"/>
  <c r="J10" i="5"/>
  <c r="J13" i="5"/>
  <c r="H13" i="5"/>
  <c r="H12" i="7"/>
  <c r="H10" i="3"/>
  <c r="K10" i="3" s="1"/>
  <c r="N12" i="4"/>
  <c r="M12" i="4"/>
  <c r="I9" i="4"/>
  <c r="I12" i="3"/>
  <c r="G12" i="3"/>
  <c r="J12" i="3" s="1"/>
  <c r="N12" i="3" s="1"/>
  <c r="H9" i="7"/>
  <c r="J9" i="7"/>
  <c r="H13" i="7"/>
  <c r="I13" i="7" s="1"/>
  <c r="L13" i="7" s="1"/>
  <c r="I13" i="4"/>
  <c r="L13" i="4" s="1"/>
  <c r="L10" i="4"/>
  <c r="J10" i="3"/>
  <c r="N10" i="3" s="1"/>
  <c r="M13" i="4"/>
  <c r="K8" i="4"/>
  <c r="N8" i="4"/>
  <c r="M8" i="4"/>
  <c r="F8" i="4"/>
  <c r="F14" i="4" s="1"/>
  <c r="H13" i="3"/>
  <c r="K13" i="3" s="1"/>
  <c r="M13" i="3"/>
  <c r="L13" i="3"/>
  <c r="E8" i="7"/>
  <c r="J8" i="7"/>
  <c r="J13" i="7"/>
  <c r="J11" i="5"/>
  <c r="H11" i="5"/>
  <c r="J10" i="7"/>
  <c r="H10" i="7"/>
  <c r="K10" i="4"/>
  <c r="O10" i="4" s="1"/>
  <c r="M10" i="4"/>
  <c r="L8" i="3"/>
  <c r="M8" i="3"/>
  <c r="E9" i="5"/>
  <c r="J9" i="5"/>
  <c r="H14" i="5"/>
  <c r="K14" i="5" s="1"/>
  <c r="O14" i="5" s="1"/>
  <c r="J14" i="5"/>
  <c r="J8" i="3" l="1"/>
  <c r="N8" i="3" s="1"/>
  <c r="F7" i="7"/>
  <c r="L7" i="7" s="1"/>
  <c r="D14" i="3"/>
  <c r="E7" i="3"/>
  <c r="K7" i="3" s="1"/>
  <c r="F9" i="5"/>
  <c r="F15" i="5" s="1"/>
  <c r="E15" i="5"/>
  <c r="J14" i="7"/>
  <c r="H29" i="7" s="1"/>
  <c r="K9" i="7"/>
  <c r="O9" i="7" s="1"/>
  <c r="H14" i="7"/>
  <c r="J15" i="5"/>
  <c r="I14" i="3"/>
  <c r="H29" i="3" s="1"/>
  <c r="I29" i="3" s="1"/>
  <c r="J29" i="3" s="1"/>
  <c r="N14" i="4"/>
  <c r="K14" i="4"/>
  <c r="L9" i="4"/>
  <c r="I14" i="4"/>
  <c r="I12" i="7"/>
  <c r="L12" i="7" s="1"/>
  <c r="K12" i="7"/>
  <c r="O12" i="7" s="1"/>
  <c r="K10" i="5"/>
  <c r="H15" i="5"/>
  <c r="J9" i="3"/>
  <c r="G14" i="3"/>
  <c r="M14" i="4"/>
  <c r="H40" i="4" s="1"/>
  <c r="F8" i="7"/>
  <c r="E14" i="7"/>
  <c r="K13" i="7"/>
  <c r="O13" i="7" s="1"/>
  <c r="L10" i="3"/>
  <c r="I14" i="5"/>
  <c r="L14" i="5" s="1"/>
  <c r="I9" i="7"/>
  <c r="H9" i="3"/>
  <c r="M14" i="5"/>
  <c r="N14" i="5"/>
  <c r="M10" i="7"/>
  <c r="N10" i="7"/>
  <c r="N13" i="7"/>
  <c r="M13" i="7"/>
  <c r="N9" i="7"/>
  <c r="M9" i="7"/>
  <c r="I13" i="5"/>
  <c r="L13" i="5" s="1"/>
  <c r="K13" i="5"/>
  <c r="O13" i="5" s="1"/>
  <c r="M10" i="5"/>
  <c r="N10" i="5"/>
  <c r="N11" i="5"/>
  <c r="M11" i="5"/>
  <c r="H12" i="3"/>
  <c r="K12" i="3" s="1"/>
  <c r="M12" i="3"/>
  <c r="L12" i="3"/>
  <c r="N13" i="5"/>
  <c r="M13" i="5"/>
  <c r="I10" i="5"/>
  <c r="M9" i="3"/>
  <c r="L9" i="3"/>
  <c r="N9" i="5"/>
  <c r="M9" i="5"/>
  <c r="H30" i="5"/>
  <c r="K9" i="5"/>
  <c r="I11" i="5"/>
  <c r="K11" i="5"/>
  <c r="O11" i="5" s="1"/>
  <c r="K8" i="7"/>
  <c r="L8" i="4"/>
  <c r="I10" i="7"/>
  <c r="K10" i="7"/>
  <c r="O10" i="7" s="1"/>
  <c r="N8" i="7"/>
  <c r="M8" i="7"/>
  <c r="I27" i="3" l="1"/>
  <c r="I37" i="3" s="1"/>
  <c r="I46" i="3" s="1"/>
  <c r="I61" i="3" s="1"/>
  <c r="I65" i="3" s="1"/>
  <c r="I66" i="3" s="1"/>
  <c r="I68" i="3" s="1"/>
  <c r="F14" i="7"/>
  <c r="E14" i="3"/>
  <c r="M14" i="7"/>
  <c r="H40" i="7" s="1"/>
  <c r="K14" i="7"/>
  <c r="H27" i="3"/>
  <c r="H37" i="3" s="1"/>
  <c r="L8" i="7"/>
  <c r="N14" i="7"/>
  <c r="M14" i="3"/>
  <c r="H38" i="4"/>
  <c r="L9" i="5"/>
  <c r="L14" i="4"/>
  <c r="L14" i="3"/>
  <c r="H40" i="3" s="1"/>
  <c r="H38" i="3" s="1"/>
  <c r="L10" i="5"/>
  <c r="I15" i="5"/>
  <c r="N15" i="5"/>
  <c r="K9" i="3"/>
  <c r="K14" i="3" s="1"/>
  <c r="H14" i="3"/>
  <c r="O14" i="4"/>
  <c r="M15" i="5"/>
  <c r="H41" i="5" s="1"/>
  <c r="H39" i="5" s="1"/>
  <c r="L9" i="7"/>
  <c r="I14" i="7"/>
  <c r="N9" i="3"/>
  <c r="N14" i="3" s="1"/>
  <c r="J14" i="3"/>
  <c r="O10" i="5"/>
  <c r="K15" i="5"/>
  <c r="I29" i="7"/>
  <c r="H27" i="7"/>
  <c r="H37" i="7" s="1"/>
  <c r="I30" i="5"/>
  <c r="H28" i="5"/>
  <c r="H38" i="5" s="1"/>
  <c r="J27" i="3"/>
  <c r="J37" i="3" s="1"/>
  <c r="J46" i="3" s="1"/>
  <c r="J61" i="3" s="1"/>
  <c r="J65" i="3" s="1"/>
  <c r="J66" i="3" s="1"/>
  <c r="J68" i="3" s="1"/>
  <c r="K29" i="3"/>
  <c r="L10" i="7"/>
  <c r="O8" i="7"/>
  <c r="O14" i="7" s="1"/>
  <c r="L11" i="5"/>
  <c r="O9" i="5"/>
  <c r="H46" i="3" l="1"/>
  <c r="H61" i="3" s="1"/>
  <c r="H65" i="3" s="1"/>
  <c r="H66" i="3" s="1"/>
  <c r="H68" i="3" s="1"/>
  <c r="I27" i="4"/>
  <c r="I37" i="4" s="1"/>
  <c r="I46" i="4" s="1"/>
  <c r="I61" i="4" s="1"/>
  <c r="I65" i="4" s="1"/>
  <c r="I66" i="4" s="1"/>
  <c r="I68" i="4" s="1"/>
  <c r="H27" i="4"/>
  <c r="H37" i="4" s="1"/>
  <c r="H46" i="4" s="1"/>
  <c r="H61" i="4" s="1"/>
  <c r="H65" i="4" s="1"/>
  <c r="H66" i="4" s="1"/>
  <c r="H68" i="4" s="1"/>
  <c r="J29" i="4"/>
  <c r="J27" i="4" s="1"/>
  <c r="J37" i="4" s="1"/>
  <c r="J46" i="4" s="1"/>
  <c r="J61" i="4" s="1"/>
  <c r="J65" i="4" s="1"/>
  <c r="J66" i="4" s="1"/>
  <c r="J68" i="4" s="1"/>
  <c r="O15" i="5"/>
  <c r="L14" i="7"/>
  <c r="L15" i="5"/>
  <c r="J40" i="7"/>
  <c r="K40" i="7" s="1"/>
  <c r="L40" i="7" s="1"/>
  <c r="M40" i="7" s="1"/>
  <c r="N40" i="7" s="1"/>
  <c r="O40" i="7" s="1"/>
  <c r="P40" i="7" s="1"/>
  <c r="Q40" i="7" s="1"/>
  <c r="R40" i="7" s="1"/>
  <c r="S40" i="7" s="1"/>
  <c r="T40" i="7" s="1"/>
  <c r="U40" i="7" s="1"/>
  <c r="V40" i="7" s="1"/>
  <c r="W40" i="7" s="1"/>
  <c r="H38" i="7"/>
  <c r="H46" i="7" s="1"/>
  <c r="H61" i="7" s="1"/>
  <c r="H65" i="7" s="1"/>
  <c r="H68" i="7" s="1"/>
  <c r="J29" i="7"/>
  <c r="I27" i="7"/>
  <c r="I37" i="7" s="1"/>
  <c r="I46" i="7" s="1"/>
  <c r="I61" i="7" s="1"/>
  <c r="I65" i="7" s="1"/>
  <c r="I68" i="7" s="1"/>
  <c r="H47" i="5"/>
  <c r="H62" i="5" s="1"/>
  <c r="H66" i="5" s="1"/>
  <c r="H67" i="5" s="1"/>
  <c r="H69" i="5" s="1"/>
  <c r="J30" i="5"/>
  <c r="I28" i="5"/>
  <c r="I38" i="5" s="1"/>
  <c r="I47" i="5" s="1"/>
  <c r="I62" i="5" s="1"/>
  <c r="I66" i="5" s="1"/>
  <c r="I67" i="5" s="1"/>
  <c r="I69" i="5" s="1"/>
  <c r="L29" i="3"/>
  <c r="K27" i="3"/>
  <c r="K37" i="3" s="1"/>
  <c r="K46" i="3" s="1"/>
  <c r="K61" i="3" s="1"/>
  <c r="K65" i="3" s="1"/>
  <c r="K66" i="3" s="1"/>
  <c r="K68" i="3" s="1"/>
  <c r="K29" i="4" l="1"/>
  <c r="L29" i="4" s="1"/>
  <c r="K29" i="7"/>
  <c r="J27" i="7"/>
  <c r="J37" i="7" s="1"/>
  <c r="J46" i="7" s="1"/>
  <c r="J61" i="7" s="1"/>
  <c r="J65" i="7" s="1"/>
  <c r="J68" i="7" s="1"/>
  <c r="K30" i="5"/>
  <c r="J28" i="5"/>
  <c r="J38" i="5" s="1"/>
  <c r="J47" i="5" s="1"/>
  <c r="J62" i="5" s="1"/>
  <c r="J66" i="5" s="1"/>
  <c r="J67" i="5" s="1"/>
  <c r="J69" i="5" s="1"/>
  <c r="L27" i="3"/>
  <c r="L37" i="3" s="1"/>
  <c r="L46" i="3" s="1"/>
  <c r="L61" i="3" s="1"/>
  <c r="L65" i="3" s="1"/>
  <c r="L66" i="3" s="1"/>
  <c r="L68" i="3" s="1"/>
  <c r="M29" i="3"/>
  <c r="K27" i="4" l="1"/>
  <c r="K37" i="4" s="1"/>
  <c r="K46" i="4" s="1"/>
  <c r="K61" i="4" s="1"/>
  <c r="K65" i="4" s="1"/>
  <c r="K66" i="4" s="1"/>
  <c r="K68" i="4" s="1"/>
  <c r="L29" i="7"/>
  <c r="K27" i="7"/>
  <c r="K37" i="7" s="1"/>
  <c r="K46" i="7" s="1"/>
  <c r="K61" i="7" s="1"/>
  <c r="K65" i="7" s="1"/>
  <c r="K68" i="7" s="1"/>
  <c r="L30" i="5"/>
  <c r="K28" i="5"/>
  <c r="K38" i="5" s="1"/>
  <c r="K47" i="5" s="1"/>
  <c r="K62" i="5" s="1"/>
  <c r="K66" i="5" s="1"/>
  <c r="K67" i="5" s="1"/>
  <c r="K69" i="5" s="1"/>
  <c r="M29" i="4"/>
  <c r="L27" i="4"/>
  <c r="L37" i="4" s="1"/>
  <c r="L46" i="4" s="1"/>
  <c r="L61" i="4" s="1"/>
  <c r="L65" i="4" s="1"/>
  <c r="L66" i="4" s="1"/>
  <c r="L68" i="4" s="1"/>
  <c r="M27" i="3"/>
  <c r="M37" i="3" s="1"/>
  <c r="M46" i="3" s="1"/>
  <c r="M61" i="3" s="1"/>
  <c r="M65" i="3" s="1"/>
  <c r="M66" i="3" s="1"/>
  <c r="M68" i="3" s="1"/>
  <c r="N29" i="3"/>
  <c r="M29" i="7" l="1"/>
  <c r="L27" i="7"/>
  <c r="L37" i="7" s="1"/>
  <c r="L46" i="7" s="1"/>
  <c r="L61" i="7" s="1"/>
  <c r="L65" i="7" s="1"/>
  <c r="L68" i="7" s="1"/>
  <c r="M30" i="5"/>
  <c r="L28" i="5"/>
  <c r="L38" i="5" s="1"/>
  <c r="L47" i="5" s="1"/>
  <c r="L62" i="5" s="1"/>
  <c r="L66" i="5" s="1"/>
  <c r="L67" i="5" s="1"/>
  <c r="L69" i="5" s="1"/>
  <c r="N29" i="4"/>
  <c r="M27" i="4"/>
  <c r="M37" i="4" s="1"/>
  <c r="M46" i="4" s="1"/>
  <c r="M61" i="4" s="1"/>
  <c r="M65" i="4" s="1"/>
  <c r="M66" i="4" s="1"/>
  <c r="M68" i="4" s="1"/>
  <c r="N27" i="3"/>
  <c r="N37" i="3" s="1"/>
  <c r="N46" i="3" s="1"/>
  <c r="N61" i="3" s="1"/>
  <c r="N65" i="3" s="1"/>
  <c r="N66" i="3" s="1"/>
  <c r="N68" i="3" s="1"/>
  <c r="O29" i="3"/>
  <c r="N29" i="7" l="1"/>
  <c r="M27" i="7"/>
  <c r="M37" i="7" s="1"/>
  <c r="M46" i="7" s="1"/>
  <c r="M61" i="7" s="1"/>
  <c r="M65" i="7" s="1"/>
  <c r="M68" i="7" s="1"/>
  <c r="N30" i="5"/>
  <c r="M28" i="5"/>
  <c r="M38" i="5" s="1"/>
  <c r="M47" i="5" s="1"/>
  <c r="M62" i="5" s="1"/>
  <c r="M66" i="5" s="1"/>
  <c r="M67" i="5" s="1"/>
  <c r="M69" i="5" s="1"/>
  <c r="O27" i="3"/>
  <c r="O37" i="3" s="1"/>
  <c r="O46" i="3" s="1"/>
  <c r="O61" i="3" s="1"/>
  <c r="O65" i="3" s="1"/>
  <c r="O66" i="3" s="1"/>
  <c r="O68" i="3" s="1"/>
  <c r="P29" i="3"/>
  <c r="O29" i="4"/>
  <c r="N27" i="4"/>
  <c r="N37" i="4" s="1"/>
  <c r="N46" i="4" s="1"/>
  <c r="N61" i="4" s="1"/>
  <c r="N65" i="4" s="1"/>
  <c r="N66" i="4" s="1"/>
  <c r="N68" i="4" s="1"/>
  <c r="O29" i="7" l="1"/>
  <c r="N27" i="7"/>
  <c r="N37" i="7" s="1"/>
  <c r="N46" i="7" s="1"/>
  <c r="N61" i="7" s="1"/>
  <c r="N65" i="7" s="1"/>
  <c r="N68" i="7" s="1"/>
  <c r="O30" i="5"/>
  <c r="N28" i="5"/>
  <c r="N38" i="5" s="1"/>
  <c r="N47" i="5" s="1"/>
  <c r="N62" i="5" s="1"/>
  <c r="N66" i="5" s="1"/>
  <c r="N67" i="5" s="1"/>
  <c r="N69" i="5" s="1"/>
  <c r="P29" i="4"/>
  <c r="O27" i="4"/>
  <c r="O37" i="4" s="1"/>
  <c r="O46" i="4" s="1"/>
  <c r="O61" i="4" s="1"/>
  <c r="O65" i="4" s="1"/>
  <c r="O66" i="4" s="1"/>
  <c r="O68" i="4" s="1"/>
  <c r="Q29" i="3"/>
  <c r="P27" i="3"/>
  <c r="P37" i="3" s="1"/>
  <c r="P46" i="3" s="1"/>
  <c r="P61" i="3" s="1"/>
  <c r="P65" i="3" s="1"/>
  <c r="P66" i="3" s="1"/>
  <c r="P68" i="3" s="1"/>
  <c r="P29" i="7" l="1"/>
  <c r="O27" i="7"/>
  <c r="O37" i="7" s="1"/>
  <c r="O46" i="7" s="1"/>
  <c r="O61" i="7" s="1"/>
  <c r="O65" i="7" s="1"/>
  <c r="O68" i="7" s="1"/>
  <c r="P30" i="5"/>
  <c r="O28" i="5"/>
  <c r="O38" i="5" s="1"/>
  <c r="O47" i="5" s="1"/>
  <c r="O62" i="5" s="1"/>
  <c r="O66" i="5" s="1"/>
  <c r="O67" i="5" s="1"/>
  <c r="O69" i="5" s="1"/>
  <c r="R29" i="3"/>
  <c r="Q27" i="3"/>
  <c r="Q37" i="3" s="1"/>
  <c r="Q46" i="3" s="1"/>
  <c r="Q61" i="3" s="1"/>
  <c r="Q65" i="3" s="1"/>
  <c r="Q66" i="3" s="1"/>
  <c r="Q68" i="3" s="1"/>
  <c r="Q29" i="4"/>
  <c r="P27" i="4"/>
  <c r="P37" i="4" s="1"/>
  <c r="P46" i="4" s="1"/>
  <c r="P61" i="4" s="1"/>
  <c r="P65" i="4" s="1"/>
  <c r="P66" i="4" s="1"/>
  <c r="P68" i="4" s="1"/>
  <c r="Q29" i="7" l="1"/>
  <c r="P27" i="7"/>
  <c r="P37" i="7" s="1"/>
  <c r="P46" i="7" s="1"/>
  <c r="P61" i="7" s="1"/>
  <c r="P65" i="7" s="1"/>
  <c r="P68" i="7" s="1"/>
  <c r="Q30" i="5"/>
  <c r="P28" i="5"/>
  <c r="P38" i="5" s="1"/>
  <c r="P47" i="5" s="1"/>
  <c r="P62" i="5" s="1"/>
  <c r="P66" i="5" s="1"/>
  <c r="P67" i="5" s="1"/>
  <c r="P69" i="5" s="1"/>
  <c r="R29" i="4"/>
  <c r="Q27" i="4"/>
  <c r="Q37" i="4" s="1"/>
  <c r="Q46" i="4" s="1"/>
  <c r="Q61" i="4" s="1"/>
  <c r="Q65" i="4" s="1"/>
  <c r="Q66" i="4" s="1"/>
  <c r="Q68" i="4" s="1"/>
  <c r="S29" i="3"/>
  <c r="R27" i="3"/>
  <c r="R37" i="3" s="1"/>
  <c r="R46" i="3" s="1"/>
  <c r="R61" i="3" s="1"/>
  <c r="R65" i="3" s="1"/>
  <c r="R66" i="3" s="1"/>
  <c r="R68" i="3" s="1"/>
  <c r="R29" i="7" l="1"/>
  <c r="Q27" i="7"/>
  <c r="Q37" i="7" s="1"/>
  <c r="Q46" i="7" s="1"/>
  <c r="Q61" i="7" s="1"/>
  <c r="Q65" i="7" s="1"/>
  <c r="Q68" i="7" s="1"/>
  <c r="R30" i="5"/>
  <c r="Q28" i="5"/>
  <c r="Q38" i="5" s="1"/>
  <c r="Q47" i="5" s="1"/>
  <c r="Q62" i="5" s="1"/>
  <c r="Q66" i="5" s="1"/>
  <c r="Q67" i="5" s="1"/>
  <c r="Q69" i="5" s="1"/>
  <c r="T29" i="3"/>
  <c r="S27" i="3"/>
  <c r="S37" i="3" s="1"/>
  <c r="S46" i="3" s="1"/>
  <c r="S61" i="3" s="1"/>
  <c r="S65" i="3" s="1"/>
  <c r="S66" i="3" s="1"/>
  <c r="S68" i="3" s="1"/>
  <c r="S29" i="4"/>
  <c r="R27" i="4"/>
  <c r="R37" i="4" s="1"/>
  <c r="R46" i="4" s="1"/>
  <c r="R61" i="4" s="1"/>
  <c r="R65" i="4" s="1"/>
  <c r="R66" i="4" s="1"/>
  <c r="R68" i="4" s="1"/>
  <c r="S29" i="7" l="1"/>
  <c r="R27" i="7"/>
  <c r="R37" i="7" s="1"/>
  <c r="R46" i="7" s="1"/>
  <c r="R61" i="7" s="1"/>
  <c r="R65" i="7" s="1"/>
  <c r="R68" i="7" s="1"/>
  <c r="S30" i="5"/>
  <c r="R28" i="5"/>
  <c r="R38" i="5" s="1"/>
  <c r="R47" i="5" s="1"/>
  <c r="R62" i="5" s="1"/>
  <c r="R66" i="5" s="1"/>
  <c r="R67" i="5" s="1"/>
  <c r="R69" i="5" s="1"/>
  <c r="T29" i="4"/>
  <c r="S27" i="4"/>
  <c r="S37" i="4" s="1"/>
  <c r="S46" i="4" s="1"/>
  <c r="S61" i="4" s="1"/>
  <c r="S65" i="4" s="1"/>
  <c r="S66" i="4" s="1"/>
  <c r="S68" i="4" s="1"/>
  <c r="U29" i="3"/>
  <c r="T27" i="3"/>
  <c r="T37" i="3" s="1"/>
  <c r="T46" i="3" s="1"/>
  <c r="T61" i="3" s="1"/>
  <c r="T65" i="3" s="1"/>
  <c r="T66" i="3" s="1"/>
  <c r="T68" i="3" s="1"/>
  <c r="T29" i="7" l="1"/>
  <c r="S27" i="7"/>
  <c r="S37" i="7" s="1"/>
  <c r="S46" i="7" s="1"/>
  <c r="S61" i="7" s="1"/>
  <c r="S65" i="7" s="1"/>
  <c r="S68" i="7" s="1"/>
  <c r="T30" i="5"/>
  <c r="S28" i="5"/>
  <c r="S38" i="5" s="1"/>
  <c r="S47" i="5" s="1"/>
  <c r="S62" i="5" s="1"/>
  <c r="S66" i="5" s="1"/>
  <c r="S67" i="5" s="1"/>
  <c r="S69" i="5" s="1"/>
  <c r="V29" i="3"/>
  <c r="U27" i="3"/>
  <c r="U37" i="3" s="1"/>
  <c r="U46" i="3" s="1"/>
  <c r="U61" i="3" s="1"/>
  <c r="U65" i="3" s="1"/>
  <c r="U66" i="3" s="1"/>
  <c r="U68" i="3" s="1"/>
  <c r="U29" i="4"/>
  <c r="T27" i="4"/>
  <c r="T37" i="4" s="1"/>
  <c r="T46" i="4" s="1"/>
  <c r="T61" i="4" s="1"/>
  <c r="T65" i="4" s="1"/>
  <c r="T66" i="4" s="1"/>
  <c r="T68" i="4" s="1"/>
  <c r="U29" i="7" l="1"/>
  <c r="T27" i="7"/>
  <c r="T37" i="7" s="1"/>
  <c r="T46" i="7" s="1"/>
  <c r="T61" i="7" s="1"/>
  <c r="T65" i="7" s="1"/>
  <c r="T68" i="7" s="1"/>
  <c r="U30" i="5"/>
  <c r="T28" i="5"/>
  <c r="T38" i="5" s="1"/>
  <c r="T47" i="5" s="1"/>
  <c r="T62" i="5" s="1"/>
  <c r="T66" i="5" s="1"/>
  <c r="T67" i="5" s="1"/>
  <c r="T69" i="5" s="1"/>
  <c r="V29" i="4"/>
  <c r="U27" i="4"/>
  <c r="U37" i="4" s="1"/>
  <c r="U46" i="4" s="1"/>
  <c r="U61" i="4" s="1"/>
  <c r="U65" i="4" s="1"/>
  <c r="U66" i="4" s="1"/>
  <c r="U68" i="4" s="1"/>
  <c r="W29" i="3"/>
  <c r="W27" i="3" s="1"/>
  <c r="W37" i="3" s="1"/>
  <c r="W46" i="3" s="1"/>
  <c r="W61" i="3" s="1"/>
  <c r="W65" i="3" s="1"/>
  <c r="W66" i="3" s="1"/>
  <c r="W68" i="3" s="1"/>
  <c r="V27" i="3"/>
  <c r="V37" i="3" s="1"/>
  <c r="V46" i="3" s="1"/>
  <c r="V61" i="3" s="1"/>
  <c r="V65" i="3" s="1"/>
  <c r="V66" i="3" s="1"/>
  <c r="V68" i="3" s="1"/>
  <c r="V29" i="7" l="1"/>
  <c r="U27" i="7"/>
  <c r="U37" i="7" s="1"/>
  <c r="U46" i="7" s="1"/>
  <c r="U61" i="7" s="1"/>
  <c r="U65" i="7" s="1"/>
  <c r="U68" i="7" s="1"/>
  <c r="V30" i="5"/>
  <c r="U28" i="5"/>
  <c r="U38" i="5" s="1"/>
  <c r="U47" i="5" s="1"/>
  <c r="U62" i="5" s="1"/>
  <c r="U66" i="5" s="1"/>
  <c r="U67" i="5" s="1"/>
  <c r="U69" i="5" s="1"/>
  <c r="W29" i="4"/>
  <c r="W27" i="4" s="1"/>
  <c r="W37" i="4" s="1"/>
  <c r="W46" i="4" s="1"/>
  <c r="W61" i="4" s="1"/>
  <c r="W65" i="4" s="1"/>
  <c r="W66" i="4" s="1"/>
  <c r="W68" i="4" s="1"/>
  <c r="V27" i="4"/>
  <c r="V37" i="4" s="1"/>
  <c r="V46" i="4" s="1"/>
  <c r="V61" i="4" s="1"/>
  <c r="V65" i="4" s="1"/>
  <c r="V66" i="4" s="1"/>
  <c r="V68" i="4" s="1"/>
  <c r="W29" i="7" l="1"/>
  <c r="W27" i="7" s="1"/>
  <c r="W37" i="7" s="1"/>
  <c r="W46" i="7" s="1"/>
  <c r="W61" i="7" s="1"/>
  <c r="W65" i="7" s="1"/>
  <c r="W68" i="7" s="1"/>
  <c r="V27" i="7"/>
  <c r="V37" i="7" s="1"/>
  <c r="V46" i="7" s="1"/>
  <c r="V61" i="7" s="1"/>
  <c r="V65" i="7" s="1"/>
  <c r="V68" i="7" s="1"/>
  <c r="W30" i="5"/>
  <c r="W28" i="5" s="1"/>
  <c r="W38" i="5" s="1"/>
  <c r="W47" i="5" s="1"/>
  <c r="W62" i="5" s="1"/>
  <c r="W66" i="5" s="1"/>
  <c r="W67" i="5" s="1"/>
  <c r="W69" i="5" s="1"/>
  <c r="V28" i="5"/>
  <c r="V38" i="5" s="1"/>
  <c r="V47" i="5" s="1"/>
  <c r="V62" i="5" s="1"/>
  <c r="V66" i="5" s="1"/>
  <c r="V67" i="5" s="1"/>
  <c r="V69" i="5" s="1"/>
  <c r="L29" i="1"/>
  <c r="I27" i="1"/>
  <c r="I48" i="1" s="1"/>
  <c r="J29" i="1"/>
  <c r="H29" i="1"/>
  <c r="H28" i="1" s="1"/>
  <c r="J27" i="1" l="1"/>
  <c r="J48" i="1" s="1"/>
  <c r="J28" i="1"/>
  <c r="L27" i="1"/>
  <c r="L48" i="1" s="1"/>
  <c r="L28" i="1"/>
  <c r="H27" i="1"/>
  <c r="H48" i="1" s="1"/>
  <c r="G29" i="1"/>
  <c r="G27" i="1" s="1"/>
  <c r="G48" i="1" l="1"/>
  <c r="G49" i="1" s="1"/>
</calcChain>
</file>

<file path=xl/sharedStrings.xml><?xml version="1.0" encoding="utf-8"?>
<sst xmlns="http://schemas.openxmlformats.org/spreadsheetml/2006/main" count="1708" uniqueCount="364">
  <si>
    <t>data ogłoszenia</t>
  </si>
  <si>
    <t xml:space="preserve">data rozstrzygnięcia </t>
  </si>
  <si>
    <t xml:space="preserve">rozpoczęcie prac  </t>
  </si>
  <si>
    <t>zakończenie prac</t>
  </si>
  <si>
    <t>Nazwa zamówienia</t>
  </si>
  <si>
    <t>31.01.2015</t>
  </si>
  <si>
    <t>koszt netto</t>
  </si>
  <si>
    <t>Razem</t>
  </si>
  <si>
    <t>HARMONOGRAM OGŁASZANIA PRZETARGÓW</t>
  </si>
  <si>
    <t>Nazwa zadania</t>
  </si>
  <si>
    <t>koszt netto [zł]</t>
  </si>
  <si>
    <t>koszt brutto [zł]</t>
  </si>
  <si>
    <t>Zadania</t>
  </si>
  <si>
    <t>Data rozpoczęcia</t>
  </si>
  <si>
    <t>Data zakończenia</t>
  </si>
  <si>
    <t>LATA REALIZACJI</t>
  </si>
  <si>
    <t>Studium wykonalności</t>
  </si>
  <si>
    <t>Analiza kosztów i korzyści (włącznie z analizą finansową)</t>
  </si>
  <si>
    <t xml:space="preserve">Ocena wpływu na środowisko naturalne </t>
  </si>
  <si>
    <t>Opracowanie dokumentacji przetargowej</t>
  </si>
  <si>
    <t>Przewidywane ogłoszenie procedury przetargowej</t>
  </si>
  <si>
    <t>Harmonogram realizacji zadania "Rekultywacja składowiska odpadów  w regionie Mazurskiego Związku Międzygminnego - Gospodarka Odpadami oraz Miasta Mrągowa"</t>
  </si>
  <si>
    <t>13.10.2014</t>
  </si>
  <si>
    <t>23.10.2014</t>
  </si>
  <si>
    <t>13.11.2014</t>
  </si>
  <si>
    <t>09.10.2014</t>
  </si>
  <si>
    <t>3. Rekultywacja składowisk odpadów inne niż niebezpieczne i obojętne wraz z wytyczeniem ścieżki edukacyjnej</t>
  </si>
  <si>
    <t>3.1. Rekultywacja składowiska w m. Spytkowo</t>
  </si>
  <si>
    <t>3.2. Rekultywacja składowiska w m. Polska Wieś</t>
  </si>
  <si>
    <t>3.3. Rekultywacja składowiska w m. Góra</t>
  </si>
  <si>
    <t>3.5 Rekultywacja składowiska w m. Czerwony Dwór</t>
  </si>
  <si>
    <t>Rekultywacja składowiska w m. Spytkowo</t>
  </si>
  <si>
    <t>Rekultywacja składowiska w m. Polska Wieś</t>
  </si>
  <si>
    <t xml:space="preserve"> Rekultywacja składowiska w m. Góra</t>
  </si>
  <si>
    <t>Rekultywacja składowiska w m. Czerwony Dwór</t>
  </si>
  <si>
    <t>23-10-2014</t>
  </si>
  <si>
    <t>13-11-2014</t>
  </si>
  <si>
    <t xml:space="preserve">Emisja  artykułów prasowych </t>
  </si>
  <si>
    <t>30-09-2015</t>
  </si>
  <si>
    <t>15-11-2014</t>
  </si>
  <si>
    <t>31-12-2014</t>
  </si>
  <si>
    <t>Zakład Usług Komunalnych Sp. z o.o. w Giżycku</t>
  </si>
  <si>
    <t>Miejska Energetyka Cieplna Sp. z o.o. w Mrągowie</t>
  </si>
  <si>
    <t>Zakład Usług Komunalnych Sp. z o.o.  Węgorzewie</t>
  </si>
  <si>
    <t>Koszty prac budowlano-montażowych</t>
  </si>
  <si>
    <t>koszt netto [zł] kwalifikowalny</t>
  </si>
  <si>
    <t>Fundusz Spójności w ramach POIiŚ (85% kosztów kwalifikowanych)</t>
  </si>
  <si>
    <t>VAT</t>
  </si>
  <si>
    <t>koszt brutto</t>
  </si>
  <si>
    <t>RAZEM</t>
  </si>
  <si>
    <t>Finansowanie z FS 85%  kosztów kwalifikowanych</t>
  </si>
  <si>
    <t>Środki własne ZUK Giżycko</t>
  </si>
  <si>
    <t xml:space="preserve">Źródła finansowania kosztów kwalifikowanych netto </t>
  </si>
  <si>
    <t xml:space="preserve">finansowanie podatku VAT </t>
  </si>
  <si>
    <t>L.p.</t>
  </si>
  <si>
    <t>Kategoria</t>
  </si>
  <si>
    <t>Jedn.</t>
  </si>
  <si>
    <t>A.</t>
  </si>
  <si>
    <t>Przychody netto ze sprzedazy i zrównane z nimi, w tym:</t>
  </si>
  <si>
    <t>zł</t>
  </si>
  <si>
    <t xml:space="preserve"> - od jednostek powiązanych</t>
  </si>
  <si>
    <t>I.</t>
  </si>
  <si>
    <t>Przychody netto ze sprzedaży produktów</t>
  </si>
  <si>
    <t>II.</t>
  </si>
  <si>
    <t>Zmiana stanu produktów (zwiększenie-wartość dodatnia,zmniejszenie-ujemna)</t>
  </si>
  <si>
    <t>III.</t>
  </si>
  <si>
    <t>Koszt wytworzenia produktów na własne potrzeby jednostki</t>
  </si>
  <si>
    <t>IV.</t>
  </si>
  <si>
    <t>Przychody netto ze sprzedaży towarów i materiałów</t>
  </si>
  <si>
    <t>B.</t>
  </si>
  <si>
    <t xml:space="preserve">Koszty działalnosci operacyjnej </t>
  </si>
  <si>
    <t>I</t>
  </si>
  <si>
    <t>Amortyzacja</t>
  </si>
  <si>
    <t>Zużycie materiałów i energii</t>
  </si>
  <si>
    <t>Usługi obce</t>
  </si>
  <si>
    <t>Podatki i opłaty, w tym :</t>
  </si>
  <si>
    <t xml:space="preserve"> - podatek akcyzowy</t>
  </si>
  <si>
    <t>V.</t>
  </si>
  <si>
    <t>Wynagrodzenia</t>
  </si>
  <si>
    <t>VI.</t>
  </si>
  <si>
    <t>Ubezpieczenia społeczne i inne świadczenia</t>
  </si>
  <si>
    <t>VII.</t>
  </si>
  <si>
    <t>Pozostałe koszty rodzajowe</t>
  </si>
  <si>
    <t>VIII.</t>
  </si>
  <si>
    <t>Wartość sprzedanych towarów i materiałów</t>
  </si>
  <si>
    <t>C.</t>
  </si>
  <si>
    <t>Zysk (strata) ze sprzedaży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</si>
  <si>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</si>
  <si>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</si>
  <si>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</si>
  <si>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</si>
  <si>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</si>
  <si>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</si>
  <si>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</si>
  <si>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Strata ze zbycia niefinansowych aktywów trwałych</t>
  </si>
  <si>
    <t>Aktualizacja wartości aktywów niefinansowych</t>
  </si>
  <si>
    <t>Inne koszty operacyjne</t>
  </si>
  <si>
    <t>F.</t>
  </si>
  <si>
    <t>Zysk (strata) z działalnosci operacyjnej (C+D-E)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</si>
  <si>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</si>
  <si>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</si>
  <si>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</si>
  <si>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</si>
  <si>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</si>
  <si>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</si>
  <si>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</si>
  <si>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</si>
  <si>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</si>
  <si>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</si>
  <si>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</si>
  <si>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Zysk (strata) z działalnosci gospodarczej (F+G-H)</t>
  </si>
  <si>
    <t>J.</t>
  </si>
  <si>
    <t>Wynik zdarzeń nadzwyczajnych (J.I-J.II)</t>
  </si>
  <si>
    <t>Zyski nadzwyczajne</t>
  </si>
  <si>
    <t>Straty nadzwyczajne</t>
  </si>
  <si>
    <t>K.</t>
  </si>
  <si>
    <t>Zysk (strata) brutto (I+-J)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</si>
  <si>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</si>
  <si>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</si>
  <si>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</si>
  <si>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</si>
  <si>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</si>
  <si>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</si>
  <si>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Rachunek zysków i strat  ZUK w Giżycku</t>
  </si>
  <si>
    <t xml:space="preserve">Sprawozdania finsnowe historyczne </t>
  </si>
  <si>
    <t>VI 2014</t>
  </si>
  <si>
    <t xml:space="preserve">Bilans - AKTYWA </t>
  </si>
  <si>
    <t>Aktywa trwałe</t>
  </si>
  <si>
    <t>Wartości niematerialne i prawne</t>
  </si>
  <si>
    <t>Rzeczowe aktywa trwałe</t>
  </si>
  <si>
    <t>1.</t>
  </si>
  <si>
    <t xml:space="preserve">Środki trwałe 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</si>
  <si>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</si>
  <si>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</si>
  <si>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</si>
  <si>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</si>
  <si>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</si>
  <si>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>2.</t>
  </si>
  <si>
    <t>Środki trwałe w budowie</t>
  </si>
  <si>
    <t>3.</t>
  </si>
  <si>
    <t xml:space="preserve">Zaliczka na środki trwałe w budowie </t>
  </si>
  <si>
    <t>Należności długoterminowe</t>
  </si>
  <si>
    <t>Inwestycje długoterminowe</t>
  </si>
  <si>
    <t>Długoterminowe rozliczenia międzyokresowe</t>
  </si>
  <si>
    <t>Aktywa obrotowe</t>
  </si>
  <si>
    <t>Zapasy</t>
  </si>
  <si>
    <t>Należności krótkoterminowe</t>
  </si>
  <si>
    <t>Inwestycje krótkoterminowe</t>
  </si>
  <si>
    <t>Krótkoterminowe rozliczenia międzyokresowe</t>
  </si>
  <si>
    <t>AKTYWA RAZEM:</t>
  </si>
  <si>
    <t xml:space="preserve">Bilans - PASYWA </t>
  </si>
  <si>
    <t>Kapitał (fundusz) własny</t>
  </si>
  <si>
    <t>Kapitał (fundusz) podstawowy</t>
  </si>
  <si>
    <t>Należne wpłaty na kapitał podstawowy(wielkość ujemna)</t>
  </si>
  <si>
    <t>Udziały (akcje) własne (wielkość ujemna)</t>
  </si>
  <si>
    <t>Kapitał (fundusz) zapasowy</t>
  </si>
  <si>
    <t>Kapitał (fudusz) z aktualizacji wyceny</t>
  </si>
  <si>
    <t>Pozostałe kapitały (fundusze)</t>
  </si>
  <si>
    <t>Zysk (strata) z lat ubiegłych</t>
  </si>
  <si>
    <t>Zysk (strata) netto</t>
  </si>
  <si>
    <t>IX.</t>
  </si>
  <si>
    <t>Odpisy z zysku netto w ciągu roku obrotowego (wielkość ujemna)</t>
  </si>
  <si>
    <t>Zobowiązania i rezerwy na zobowiązania</t>
  </si>
  <si>
    <t>Rezerwy na zobowiązania</t>
  </si>
  <si>
    <t>Zobowiązania długoterminowe</t>
  </si>
  <si>
    <t>Wobec jednostek powiązanych</t>
  </si>
  <si>
    <t>Wobec pozostałych jednostek</t>
  </si>
  <si>
    <t>kredyty i pożyczki</t>
  </si>
  <si>
    <t>Zobowiązania krótkoterminowe</t>
  </si>
  <si>
    <t>z tytułu dostaw i usług</t>
  </si>
  <si>
    <t>zaliczki otrzymane na dostawy</t>
  </si>
  <si>
    <t>zobowiazania wekslowe</t>
  </si>
  <si>
    <t>z tytułu podatków, ceł, ubezpieczeń i innych świadczeń</t>
  </si>
  <si>
    <t>z tytułu wynagrodzeń</t>
  </si>
  <si>
    <t>inne</t>
  </si>
  <si>
    <t>Fundusze specjalne</t>
  </si>
  <si>
    <t>Rozliczenia międzyokresowe</t>
  </si>
  <si>
    <t>PASYWA RAZEM:</t>
  </si>
  <si>
    <t>ANALIZA WSKAŹNIKOWA</t>
  </si>
  <si>
    <t>Lp.</t>
  </si>
  <si>
    <t>Wskaźniki rentowności</t>
  </si>
  <si>
    <t>Wskaźnik rentowności sprzedaży</t>
  </si>
  <si>
    <t>Wskaźnik rentowności kapitału własnego</t>
  </si>
  <si>
    <t>Wskaźnik rentownosci aktywów ogółem</t>
  </si>
  <si>
    <t>Wskaźniki płynności:</t>
  </si>
  <si>
    <t>Płynność bieżąca</t>
  </si>
  <si>
    <t>Płynność szybka</t>
  </si>
  <si>
    <t>Wskaźniki zadłużenia</t>
  </si>
  <si>
    <t>Wskaźnik zadłużenia aktywów</t>
  </si>
  <si>
    <t>Wskaźnik zadłużenia kapitałów własnych</t>
  </si>
  <si>
    <t>Wskaźniki strukt. majątku obrotowego</t>
  </si>
  <si>
    <t>Zapasy/majątek obrotowy</t>
  </si>
  <si>
    <t>Należności i roszczenia/majątek obrotowy</t>
  </si>
  <si>
    <t>Środki pieniężne / majątek obrotowy</t>
  </si>
  <si>
    <t>Wskaźniki sprawności działania</t>
  </si>
  <si>
    <t>Rotacja zapasów w dniach</t>
  </si>
  <si>
    <t>Rotacja należności w dniach</t>
  </si>
  <si>
    <t>Rotacja zobowiązań w dniach</t>
  </si>
  <si>
    <t>Bilans ZUK w Giżycku</t>
  </si>
  <si>
    <t>Analiza sytuacji finansowej firmy ZUK w Giżycku</t>
  </si>
  <si>
    <t xml:space="preserve">ZAŁOŻENIA KOSZTÓW MONITORINGU SKŁADOWISKA </t>
  </si>
  <si>
    <t xml:space="preserve">zł </t>
  </si>
  <si>
    <t>koszty monitoringu zamkniętego składowiska  [zł brutto]</t>
  </si>
  <si>
    <t>projekcja</t>
  </si>
  <si>
    <t>okres historyczny</t>
  </si>
  <si>
    <t>z tytułu inwestycji w 2015 roku załozono koszty rekultywacji netto w pozycji "zużycie materiałów i energii" oraz wartośc dofinansowania w pozycji "dotacje", koszty monitoringu zostały ujęte w kwocie netto w pozycji "usługi obce" począwszy od roku 2016</t>
  </si>
  <si>
    <t>koszty monitoringu zamkniętego składowiska  [zł netto]</t>
  </si>
  <si>
    <t xml:space="preserve">A. Przepływy środków pieniężnych z działalności operacyjnej </t>
  </si>
  <si>
    <t>1. Zysk (strata) netto</t>
  </si>
  <si>
    <t>2. Amortyzacja</t>
  </si>
  <si>
    <t>3. Zmiana stanu zapasów</t>
  </si>
  <si>
    <t>4. Zmiana stanu należności</t>
  </si>
  <si>
    <t>5. Zmiana stanu zobowiązań krótkoterminowych, z wyjątkiem pożyczek i kredytów</t>
  </si>
  <si>
    <t>6. Inne korekty</t>
  </si>
  <si>
    <t>I. Razem (1+2-3-4+5+6)</t>
  </si>
  <si>
    <t xml:space="preserve">B. Przepływy środków pieniężnych z działalności inwestycyjnej </t>
  </si>
  <si>
    <t>1. Sprzedaż składników majątku trwałego</t>
  </si>
  <si>
    <t>2. Nabycie składników majątku trwałego</t>
  </si>
  <si>
    <t>3. Inne</t>
  </si>
  <si>
    <t>II. Razem (1-2+3)</t>
  </si>
  <si>
    <t>C. Przepływy środków pieniężnych z działalności finansowej</t>
  </si>
  <si>
    <t>1. Zaciągnięcie kredytów i pożyczek</t>
  </si>
  <si>
    <t>2. Spłata kredytów i pożyczek</t>
  </si>
  <si>
    <t>3. Dotacje (wpływ)</t>
  </si>
  <si>
    <t>4. Wypłaty na rzecz właścicieli</t>
  </si>
  <si>
    <t>5. Wpłaty dokonane przez właścicieli</t>
  </si>
  <si>
    <t>6. Pozostałe</t>
  </si>
  <si>
    <t>III. Razem (1-2+3-4+5+6)</t>
  </si>
  <si>
    <t xml:space="preserve">D. Przepływy pieniężne netto razem (I+II+III) </t>
  </si>
  <si>
    <t>F. Środki pieniężne na  początek okresu</t>
  </si>
  <si>
    <t>G. Środki pieniężne na koniec okresu (F+D)</t>
  </si>
  <si>
    <t>Rachunek przepływów pieniężnych ZUK w Giżycku projekcja</t>
  </si>
  <si>
    <t xml:space="preserve">Koszty przedsięwzięcia dla rekultywacji składowiska w Spytkowe </t>
  </si>
  <si>
    <t>Koszty przedsięwzięcia dla rekultywacji składowiska w Polskiej Wsi</t>
  </si>
  <si>
    <t>Środki własne MEC Mrągowo</t>
  </si>
  <si>
    <t>Rachunek zysków i strat  MEC w Morągu</t>
  </si>
  <si>
    <t>Bilans MEC Mrągowo</t>
  </si>
  <si>
    <t>Analiza sytuacji finansowej firmy MEC W  Mrągowie</t>
  </si>
  <si>
    <t>Zakład Usług Komunalnych Spółka Gminy  w Orzyszu</t>
  </si>
  <si>
    <t>Koszty przedsięwzięcia dla rekultywacji składowiska w m. Góra</t>
  </si>
  <si>
    <t>Rachunek zysków i strat  ZUK Orzysz</t>
  </si>
  <si>
    <t>Bilans ZUK Orzysz</t>
  </si>
  <si>
    <t>Analiza sytuacji finansowej firmy ZUK Orzysz</t>
  </si>
  <si>
    <t>Koszty przedsięwzięcia dla rekultywacji składowiska w Czerwonym Dworze</t>
  </si>
  <si>
    <t>Środki własne ZUK Węgorzewo</t>
  </si>
  <si>
    <t>Rachunek zysków i strat  ZUK Węgorzewo</t>
  </si>
  <si>
    <t>Bilans ZUK Węgorzewo</t>
  </si>
  <si>
    <t>Analiza sytuacji finansowej firmy ZUK Węgorzewo</t>
  </si>
  <si>
    <t>12.01.2015</t>
  </si>
  <si>
    <t>12.02.2015</t>
  </si>
  <si>
    <t>19.02.2015</t>
  </si>
  <si>
    <t>15.09.2015</t>
  </si>
  <si>
    <t>31.10.2015</t>
  </si>
  <si>
    <t>31.07.2015</t>
  </si>
  <si>
    <t>15.05.2015</t>
  </si>
  <si>
    <t>25.05.2015</t>
  </si>
  <si>
    <t>01.06.2015</t>
  </si>
  <si>
    <t>30.09.2015</t>
  </si>
  <si>
    <t>15.06.2015</t>
  </si>
  <si>
    <t>30.06.2015</t>
  </si>
  <si>
    <t>01.07.2015</t>
  </si>
  <si>
    <t>01.02.2015</t>
  </si>
  <si>
    <t>opracowanie studium wykonalności</t>
  </si>
  <si>
    <t>Inspektor nadzoru</t>
  </si>
  <si>
    <t xml:space="preserve">Rekultywacja składowisk odpadów inne niż niebezpieczne i obojętne </t>
  </si>
  <si>
    <t>Ścieżki edukacyjne</t>
  </si>
  <si>
    <t>22-01-2015</t>
  </si>
  <si>
    <t>30-06-2015</t>
  </si>
  <si>
    <t>19-02-2015</t>
  </si>
  <si>
    <t>15-09-2015</t>
  </si>
  <si>
    <t>01-06-2015</t>
  </si>
  <si>
    <t>w projekcji ujęto stały procent przyrostu przychodów i kosztów o 5%, amortyzacja spada corocznie o 5%</t>
  </si>
  <si>
    <t xml:space="preserve">1. Opracowanie dokumentacji projektowej </t>
  </si>
  <si>
    <t>3. Opracowanie studium wykonalności</t>
  </si>
  <si>
    <t xml:space="preserve">6. Rekultywacja składowisk odpadów inne niż niebezpieczne i obojętne </t>
  </si>
  <si>
    <t>6.1. Rekultywacja składowiska w m. Spytkowo</t>
  </si>
  <si>
    <t>6.2. Rekultywacja składowiska w m. Polska Wieś</t>
  </si>
  <si>
    <t>6.3. Rekultywacja składowiska w m. Góra</t>
  </si>
  <si>
    <t xml:space="preserve">ZBIORCZE ZESTAWIENIE ZADAŃ, PLAN PŁATNOŚCI </t>
  </si>
  <si>
    <t>1. Opracowanie dokumentacji projektowej - niekwalifikowane</t>
  </si>
  <si>
    <t>1. Opracowanie dokumentacji projektowej - kwalifikowane</t>
  </si>
  <si>
    <t>2. Opracowanie wniosku o dofinansowanie - niekwalifikowane</t>
  </si>
  <si>
    <t>6. Rekultywacja składowisk odpadów inne niż niebezpieczne i obojętne - kwalifikowane</t>
  </si>
  <si>
    <t>opracowanie studium wykonalności i wniosku udziała procentowy</t>
  </si>
  <si>
    <t>20.11.2014</t>
  </si>
  <si>
    <t>podatek VAT zł, kwalifikowany</t>
  </si>
  <si>
    <t>podatek VAT zł, niekwalifikowany</t>
  </si>
  <si>
    <t>koszt netto [zł] niekwalifikowalny</t>
  </si>
  <si>
    <t>01.10.2013</t>
  </si>
  <si>
    <t>31.05.2014</t>
  </si>
  <si>
    <t xml:space="preserve">3. Opracowanie studium wykonalności  </t>
  </si>
  <si>
    <t>3.1 Opracowanie studium wykonalności  -niekwalifikowane</t>
  </si>
  <si>
    <t>3.2 Opracowanie studium wykonalności  -kwalifikowane</t>
  </si>
  <si>
    <r>
      <t>4. Wybór pe</t>
    </r>
    <r>
      <rPr>
        <b/>
        <sz val="9"/>
        <color rgb="FF000000"/>
        <rFont val="omoArial"/>
        <charset val="1"/>
      </rPr>
      <t xml:space="preserve">łnomocnika ds. realizacji projektu MAO </t>
    </r>
  </si>
  <si>
    <t>7.2 Emisja  artykułów prasowych w gazetach lokalnych na potrzeby kampanii edukacyjnej - kwalifikowane</t>
  </si>
  <si>
    <t xml:space="preserve">7. Emisja  artykułów prasowych w gazetach lokalnych na potrzeby kampanii edukacyjnej </t>
  </si>
  <si>
    <t>7.1 Emisja  artykułów prasowych w gazetach lokalnych na potrzeby kampanii edukacyjnej - niekwalifikowane</t>
  </si>
  <si>
    <r>
      <t>4.1 Wybór pe</t>
    </r>
    <r>
      <rPr>
        <sz val="9"/>
        <color rgb="FF000000"/>
        <rFont val="omoArial"/>
        <charset val="1"/>
      </rPr>
      <t>łnomocnika ds. realizacji projektu MAO - niekwalifikowane</t>
    </r>
  </si>
  <si>
    <r>
      <t>4.2 Wybór pe</t>
    </r>
    <r>
      <rPr>
        <sz val="9"/>
        <color rgb="FF000000"/>
        <rFont val="omoArial"/>
        <charset val="1"/>
      </rPr>
      <t>łnomocnika ds. realizacji projektu MAO - kwalifikowane</t>
    </r>
  </si>
  <si>
    <t>Dokumentacja projektowa</t>
  </si>
  <si>
    <t>8.1</t>
  </si>
  <si>
    <t>8.2</t>
  </si>
  <si>
    <t>8.3</t>
  </si>
  <si>
    <t>8.4</t>
  </si>
  <si>
    <t>01-10-2013</t>
  </si>
  <si>
    <t>31-05-2014</t>
  </si>
  <si>
    <r>
      <t>4. Pe</t>
    </r>
    <r>
      <rPr>
        <sz val="8"/>
        <color rgb="FF000000"/>
        <rFont val="omoArial"/>
        <charset val="1"/>
      </rPr>
      <t>łnomocnik ds. realizacji projektu MAO</t>
    </r>
  </si>
  <si>
    <t>7. Ścieżka edukacyjna</t>
  </si>
  <si>
    <t>8. Emisja  artykułów prasowych w gazetach lokalnych na potrzeby kampanii edukacyjnej</t>
  </si>
  <si>
    <t>1. Opracowanie dokumentacji projektowej - niekwalifiikowane</t>
  </si>
  <si>
    <t xml:space="preserve">koszt netto </t>
  </si>
  <si>
    <t xml:space="preserve">Źródła finansowania kosztów netto </t>
  </si>
  <si>
    <t>1. Opracowanie dokumentacji projektowej - kwalifiikowane</t>
  </si>
  <si>
    <t xml:space="preserve">Źródła finansowania kosztów  netto </t>
  </si>
  <si>
    <t xml:space="preserve">koszt netto  </t>
  </si>
  <si>
    <t>6.4 Rekultywacja składowiska w m. Czerwony Dwór</t>
  </si>
  <si>
    <t>5. Wybór inspektora nadzoru z podziałem na 4 części</t>
  </si>
  <si>
    <t>5.1 Wybór inspektora nadzoru z podziałem na 4 części niekwalifikowane</t>
  </si>
  <si>
    <t>5.2 Wybór inspektora nadzoru z podziałem na 4 części -kwalifikowane</t>
  </si>
  <si>
    <t>8. Ścieżki edukacyjne z podziałem na 4 części</t>
  </si>
  <si>
    <t>8.1 Ścieżki edukacyjne z podziałem na 4 części - niekwalifikowane</t>
  </si>
  <si>
    <t>8.2 Ścieżki edukacyjne z podziałem na 4 części - kwalifikowane</t>
  </si>
  <si>
    <t xml:space="preserve">2. Opracowanie wniosku o dofinansowanie </t>
  </si>
  <si>
    <t>15.10.2014</t>
  </si>
  <si>
    <r>
      <t>4. Wybór pe</t>
    </r>
    <r>
      <rPr>
        <b/>
        <sz val="9"/>
        <color rgb="FF000000"/>
        <rFont val="omoArial"/>
        <charset val="1"/>
      </rPr>
      <t>łnomocnika ds. realizacji projektu MAO</t>
    </r>
  </si>
  <si>
    <t>6. Rekultywacja składowisk odpadów inne niż niebezpieczne i obojętne wraz z wytyczeniem ścieżki edukacyjnej</t>
  </si>
  <si>
    <t>6.1. Wybór wykonawcy rekultywacji składowiska w m. Spytkowo</t>
  </si>
  <si>
    <t>6.2. Wybór wykonawcy rekultywacji składowiska w m. Polska Wieś</t>
  </si>
  <si>
    <t>6.3. Wybór wykonawcy rekultywacji składowiska w m. Góra</t>
  </si>
  <si>
    <t>6.4 Wybór wykonawcy rekultywacji składowiska w m. Czerwony Dwór</t>
  </si>
  <si>
    <t>7. Emisja  artykułów prasowych w gazetach lokalnych z podziałem na części  na potrzeby kampanii edukacyjnej</t>
  </si>
  <si>
    <t>5. Inspektor nadzoru</t>
  </si>
  <si>
    <t>01.05.2014</t>
  </si>
  <si>
    <t>05.11.2014</t>
  </si>
  <si>
    <t>kalkulacja luki finansowej</t>
  </si>
  <si>
    <t>Wyszczególnienie</t>
  </si>
  <si>
    <t>Wartość zdyskontowana</t>
  </si>
  <si>
    <t xml:space="preserve">Przychody ze sprzedaży </t>
  </si>
  <si>
    <t>Pieniężne koszty operacyjne</t>
  </si>
  <si>
    <t xml:space="preserve">Wartość rezydualna </t>
  </si>
  <si>
    <t>Koszty kwalifikowane</t>
  </si>
  <si>
    <t xml:space="preserve">Koszty inwestycyjne </t>
  </si>
  <si>
    <t>Parametry</t>
  </si>
  <si>
    <t>Wartość niezdyskontowana</t>
  </si>
  <si>
    <t>Okres odniesienia (lata)</t>
  </si>
  <si>
    <t>Finansowa stopa dyskontowa</t>
  </si>
  <si>
    <t>Łączny koszt inwestycji (PLN, N)</t>
  </si>
  <si>
    <t>Łączny koszt Inwestycji (PLN, D)</t>
  </si>
  <si>
    <t>Wartość rezydualna (PLN, N)</t>
  </si>
  <si>
    <t>Wartość rezydualna (PLN,D)</t>
  </si>
  <si>
    <t>Dochody (PLN, D)</t>
  </si>
  <si>
    <t>Koszty operacyjne (PLN, D)</t>
  </si>
  <si>
    <t>Dochód netto = (7) - (8) + (6)</t>
  </si>
  <si>
    <t>Wydatki kwalifik.(art.. 55 ust. 2) = (4) - (9)</t>
  </si>
  <si>
    <t>Luka w finansowan. (%) = (10/4)</t>
  </si>
  <si>
    <t>Koszy kwalifikowalne (PLN,N)</t>
  </si>
  <si>
    <t>Kwota wskazana w decyzji, tj. „kwota, do której stosowana jest stopa współfinansowania osi priorytetowej” (art. 41 ust. 2) = (11)*(12)</t>
  </si>
  <si>
    <t>Maksymalna stopa współfinansowania osi priorytetowej (%)</t>
  </si>
  <si>
    <t>Maksymalny poziom dofinansowania = (13)*(14)</t>
  </si>
  <si>
    <t>Stopa dofinansowania (%) (15)/(12)</t>
  </si>
  <si>
    <t>Załącznik 5</t>
  </si>
  <si>
    <t>Zakład Usług Komunalnych Spółka Gminy Sp. z o.o. w Orzyszu</t>
  </si>
  <si>
    <t>Środki własne ZUK Sp. Gm.Orzysz</t>
  </si>
  <si>
    <t>Środki własne ZUK Sp. Gm. Orzysz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</si>
</sst>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zł&quot;;[Red]\-#,##0.00\ &quot;zł&quot;"/>
    <numFmt numFmtId="43" formatCode="_-* #,##0.00\ _z_ł_-;\-* #,##0.00\ _z_ł_-;_-* &quot;-&quot;??\ _z_ł_-;_-@_-"/>
    <numFmt numFmtId="164" formatCode="yyyy/mm/dd;@"/>
    <numFmt numFmtId="165" formatCode="0.0%"/>
    <numFmt numFmtId="166" formatCode="_-* #,##0\ _z_ł_-;\-* #,##0\ _z_ł_-;_-* &quot;-&quot;??\ _z_ł_-;_-@_-"/>
    <numFmt numFmtId="167" formatCode="#,##0.0"/>
    <numFmt numFmtId="168" formatCode="#,##0.00,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rgb="FF000000"/>
      <name val="omoArial"/>
      <charset val="1"/>
    </font>
    <font>
      <sz val="8"/>
      <color rgb="FF000000"/>
      <name val="omoArial"/>
      <charset val="1"/>
    </font>
    <font>
      <sz val="9"/>
      <color rgb="FF000000"/>
      <name val="omoArial"/>
      <charset val="1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21" fillId="0" borderId="0"/>
    <xf numFmtId="0" fontId="24" fillId="0" borderId="0"/>
    <xf numFmtId="0" fontId="24" fillId="0" borderId="0"/>
  </cellStyleXfs>
  <cellXfs count="4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3" fontId="4" fillId="0" borderId="0" xfId="1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3" fontId="3" fillId="0" borderId="1" xfId="1" applyFont="1" applyBorder="1" applyAlignment="1">
      <alignment horizontal="center"/>
    </xf>
    <xf numFmtId="0" fontId="3" fillId="0" borderId="1" xfId="0" applyFont="1" applyBorder="1"/>
    <xf numFmtId="43" fontId="3" fillId="0" borderId="1" xfId="1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3" fontId="5" fillId="0" borderId="1" xfId="1" applyFont="1" applyBorder="1"/>
    <xf numFmtId="43" fontId="7" fillId="0" borderId="1" xfId="0" applyNumberFormat="1" applyFont="1" applyBorder="1"/>
    <xf numFmtId="0" fontId="2" fillId="0" borderId="0" xfId="0" applyFont="1"/>
    <xf numFmtId="0" fontId="3" fillId="0" borderId="0" xfId="0" applyFont="1" applyBorder="1"/>
    <xf numFmtId="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2" fillId="0" borderId="25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0" fontId="12" fillId="2" borderId="26" xfId="0" applyFont="1" applyFill="1" applyBorder="1" applyAlignment="1">
      <alignment vertical="center" wrapText="1"/>
    </xf>
    <xf numFmtId="0" fontId="12" fillId="2" borderId="25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0" borderId="1" xfId="0" applyBorder="1"/>
    <xf numFmtId="0" fontId="12" fillId="3" borderId="1" xfId="0" applyFont="1" applyFill="1" applyBorder="1" applyAlignment="1">
      <alignment vertical="center" wrapText="1"/>
    </xf>
    <xf numFmtId="0" fontId="12" fillId="3" borderId="26" xfId="0" applyFont="1" applyFill="1" applyBorder="1" applyAlignment="1">
      <alignment vertical="center" wrapText="1"/>
    </xf>
    <xf numFmtId="0" fontId="12" fillId="3" borderId="25" xfId="0" applyFont="1" applyFill="1" applyBorder="1" applyAlignment="1">
      <alignment vertical="center" wrapText="1"/>
    </xf>
    <xf numFmtId="0" fontId="0" fillId="3" borderId="1" xfId="0" applyFill="1" applyBorder="1"/>
    <xf numFmtId="0" fontId="12" fillId="0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2" fillId="3" borderId="13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2" fillId="2" borderId="14" xfId="0" applyFont="1" applyFill="1" applyBorder="1" applyAlignment="1">
      <alignment vertical="center" wrapText="1"/>
    </xf>
    <xf numFmtId="0" fontId="0" fillId="0" borderId="22" xfId="0" applyBorder="1"/>
    <xf numFmtId="0" fontId="0" fillId="0" borderId="20" xfId="0" applyBorder="1"/>
    <xf numFmtId="0" fontId="0" fillId="0" borderId="21" xfId="0" applyBorder="1"/>
    <xf numFmtId="0" fontId="0" fillId="0" borderId="15" xfId="0" applyBorder="1"/>
    <xf numFmtId="0" fontId="0" fillId="0" borderId="13" xfId="0" applyBorder="1"/>
    <xf numFmtId="0" fontId="0" fillId="0" borderId="14" xfId="0" applyBorder="1"/>
    <xf numFmtId="0" fontId="0" fillId="0" borderId="25" xfId="0" applyBorder="1"/>
    <xf numFmtId="0" fontId="0" fillId="0" borderId="26" xfId="0" applyBorder="1"/>
    <xf numFmtId="0" fontId="0" fillId="3" borderId="20" xfId="0" applyFill="1" applyBorder="1"/>
    <xf numFmtId="164" fontId="13" fillId="2" borderId="2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0" fillId="3" borderId="13" xfId="0" applyFill="1" applyBorder="1"/>
    <xf numFmtId="0" fontId="0" fillId="0" borderId="12" xfId="0" applyBorder="1"/>
    <xf numFmtId="0" fontId="0" fillId="0" borderId="4" xfId="0" applyBorder="1"/>
    <xf numFmtId="0" fontId="0" fillId="0" borderId="19" xfId="0" applyBorder="1"/>
    <xf numFmtId="0" fontId="16" fillId="0" borderId="0" xfId="0" applyFont="1"/>
    <xf numFmtId="164" fontId="13" fillId="2" borderId="24" xfId="0" applyNumberFormat="1" applyFont="1" applyFill="1" applyBorder="1" applyAlignment="1">
      <alignment horizontal="center" vertical="center" wrapText="1"/>
    </xf>
    <xf numFmtId="164" fontId="13" fillId="2" borderId="26" xfId="0" applyNumberFormat="1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4" fillId="0" borderId="13" xfId="0" applyFont="1" applyBorder="1" applyAlignment="1">
      <alignment vertical="center"/>
    </xf>
    <xf numFmtId="43" fontId="13" fillId="0" borderId="13" xfId="1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5" fillId="0" borderId="20" xfId="0" applyFont="1" applyBorder="1" applyAlignment="1">
      <alignment vertical="center" wrapText="1"/>
    </xf>
    <xf numFmtId="43" fontId="13" fillId="0" borderId="20" xfId="1" applyFont="1" applyBorder="1" applyAlignment="1">
      <alignment horizontal="center"/>
    </xf>
    <xf numFmtId="0" fontId="12" fillId="2" borderId="31" xfId="0" applyFont="1" applyFill="1" applyBorder="1" applyAlignment="1">
      <alignment horizontal="left" vertical="center" wrapText="1"/>
    </xf>
    <xf numFmtId="43" fontId="4" fillId="0" borderId="0" xfId="0" applyNumberFormat="1" applyFont="1"/>
    <xf numFmtId="43" fontId="0" fillId="0" borderId="0" xfId="0" applyNumberFormat="1"/>
    <xf numFmtId="9" fontId="4" fillId="0" borderId="0" xfId="2" applyFont="1"/>
    <xf numFmtId="43" fontId="0" fillId="0" borderId="1" xfId="1" applyFont="1" applyBorder="1"/>
    <xf numFmtId="43" fontId="3" fillId="0" borderId="1" xfId="0" applyNumberFormat="1" applyFont="1" applyBorder="1"/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3" fontId="0" fillId="0" borderId="26" xfId="1" applyFont="1" applyBorder="1"/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2" xfId="0" applyFont="1" applyBorder="1"/>
    <xf numFmtId="0" fontId="3" fillId="0" borderId="21" xfId="0" applyFont="1" applyBorder="1"/>
    <xf numFmtId="43" fontId="7" fillId="0" borderId="0" xfId="0" applyNumberFormat="1" applyFont="1" applyBorder="1"/>
    <xf numFmtId="0" fontId="17" fillId="0" borderId="0" xfId="0" applyFont="1"/>
    <xf numFmtId="0" fontId="3" fillId="0" borderId="35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3" fillId="0" borderId="0" xfId="0" applyFont="1"/>
    <xf numFmtId="4" fontId="0" fillId="0" borderId="0" xfId="0" applyNumberFormat="1"/>
    <xf numFmtId="43" fontId="3" fillId="0" borderId="0" xfId="1" applyFont="1"/>
    <xf numFmtId="4" fontId="3" fillId="0" borderId="1" xfId="0" applyNumberFormat="1" applyFont="1" applyBorder="1"/>
    <xf numFmtId="0" fontId="2" fillId="0" borderId="1" xfId="0" applyFont="1" applyBorder="1"/>
    <xf numFmtId="0" fontId="19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center" wrapText="1"/>
    </xf>
    <xf numFmtId="43" fontId="0" fillId="0" borderId="1" xfId="0" applyNumberForma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7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 applyBorder="1"/>
    <xf numFmtId="0" fontId="22" fillId="2" borderId="37" xfId="4" applyFont="1" applyFill="1" applyBorder="1" applyAlignment="1">
      <alignment horizontal="center" vertical="center" wrapText="1"/>
    </xf>
    <xf numFmtId="0" fontId="22" fillId="2" borderId="37" xfId="4" applyFont="1" applyFill="1" applyBorder="1" applyAlignment="1">
      <alignment horizontal="center" vertical="center"/>
    </xf>
    <xf numFmtId="0" fontId="22" fillId="2" borderId="38" xfId="4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center"/>
    </xf>
    <xf numFmtId="49" fontId="22" fillId="2" borderId="1" xfId="4" applyNumberFormat="1" applyFont="1" applyFill="1" applyBorder="1" applyAlignment="1">
      <alignment wrapText="1"/>
    </xf>
    <xf numFmtId="4" fontId="22" fillId="2" borderId="1" xfId="4" applyNumberFormat="1" applyFont="1" applyFill="1" applyBorder="1" applyAlignment="1">
      <alignment horizontal="center"/>
    </xf>
    <xf numFmtId="4" fontId="22" fillId="2" borderId="1" xfId="4" applyNumberFormat="1" applyFont="1" applyFill="1" applyBorder="1"/>
    <xf numFmtId="4" fontId="22" fillId="2" borderId="2" xfId="4" applyNumberFormat="1" applyFont="1" applyFill="1" applyBorder="1"/>
    <xf numFmtId="0" fontId="21" fillId="2" borderId="1" xfId="4" applyFont="1" applyFill="1" applyBorder="1" applyAlignment="1">
      <alignment horizontal="center"/>
    </xf>
    <xf numFmtId="49" fontId="21" fillId="2" borderId="1" xfId="4" applyNumberFormat="1" applyFont="1" applyFill="1" applyBorder="1"/>
    <xf numFmtId="4" fontId="21" fillId="2" borderId="1" xfId="4" applyNumberFormat="1" applyFont="1" applyFill="1" applyBorder="1"/>
    <xf numFmtId="4" fontId="21" fillId="2" borderId="2" xfId="4" applyNumberFormat="1" applyFont="1" applyFill="1" applyBorder="1"/>
    <xf numFmtId="49" fontId="21" fillId="2" borderId="1" xfId="4" applyNumberFormat="1" applyFont="1" applyFill="1" applyBorder="1" applyAlignment="1">
      <alignment wrapText="1"/>
    </xf>
    <xf numFmtId="49" fontId="22" fillId="2" borderId="1" xfId="4" applyNumberFormat="1" applyFont="1" applyFill="1" applyBorder="1"/>
    <xf numFmtId="0" fontId="22" fillId="2" borderId="39" xfId="5" applyFont="1" applyFill="1" applyBorder="1" applyAlignment="1">
      <alignment horizontal="center" vertical="center" wrapText="1"/>
    </xf>
    <xf numFmtId="0" fontId="22" fillId="2" borderId="39" xfId="5" applyFont="1" applyFill="1" applyBorder="1" applyAlignment="1">
      <alignment horizontal="center" vertical="center"/>
    </xf>
    <xf numFmtId="0" fontId="22" fillId="2" borderId="40" xfId="5" applyFont="1" applyFill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center" vertical="center"/>
    </xf>
    <xf numFmtId="0" fontId="22" fillId="2" borderId="1" xfId="5" applyFont="1" applyFill="1" applyBorder="1" applyAlignment="1">
      <alignment horizontal="left" vertical="center"/>
    </xf>
    <xf numFmtId="4" fontId="21" fillId="2" borderId="1" xfId="5" applyNumberFormat="1" applyFont="1" applyFill="1" applyBorder="1" applyAlignment="1">
      <alignment horizontal="center"/>
    </xf>
    <xf numFmtId="4" fontId="22" fillId="2" borderId="1" xfId="5" applyNumberFormat="1" applyFont="1" applyFill="1" applyBorder="1"/>
    <xf numFmtId="0" fontId="23" fillId="2" borderId="1" xfId="5" applyFont="1" applyFill="1" applyBorder="1" applyAlignment="1">
      <alignment horizontal="center" vertical="center"/>
    </xf>
    <xf numFmtId="0" fontId="21" fillId="2" borderId="1" xfId="5" applyFont="1" applyFill="1" applyBorder="1" applyAlignment="1">
      <alignment horizontal="left" vertical="center"/>
    </xf>
    <xf numFmtId="4" fontId="23" fillId="2" borderId="1" xfId="5" applyNumberFormat="1" applyFont="1" applyFill="1" applyBorder="1"/>
    <xf numFmtId="4" fontId="23" fillId="2" borderId="2" xfId="5" applyNumberFormat="1" applyFont="1" applyFill="1" applyBorder="1"/>
    <xf numFmtId="0" fontId="23" fillId="2" borderId="1" xfId="5" applyFont="1" applyFill="1" applyBorder="1" applyAlignment="1">
      <alignment horizontal="left" vertical="center"/>
    </xf>
    <xf numFmtId="4" fontId="21" fillId="2" borderId="1" xfId="5" applyNumberFormat="1" applyFont="1" applyFill="1" applyBorder="1"/>
    <xf numFmtId="4" fontId="21" fillId="2" borderId="2" xfId="5" applyNumberFormat="1" applyFont="1" applyFill="1" applyBorder="1"/>
    <xf numFmtId="0" fontId="22" fillId="2" borderId="41" xfId="5" applyFont="1" applyFill="1" applyBorder="1" applyAlignment="1">
      <alignment horizontal="center" vertical="center" wrapText="1"/>
    </xf>
    <xf numFmtId="0" fontId="22" fillId="2" borderId="41" xfId="5" applyFont="1" applyFill="1" applyBorder="1" applyAlignment="1">
      <alignment horizontal="center" vertical="center"/>
    </xf>
    <xf numFmtId="0" fontId="22" fillId="2" borderId="1" xfId="5" applyFont="1" applyFill="1" applyBorder="1" applyAlignment="1">
      <alignment horizontal="left" vertical="center" wrapText="1"/>
    </xf>
    <xf numFmtId="4" fontId="22" fillId="2" borderId="2" xfId="5" applyNumberFormat="1" applyFont="1" applyFill="1" applyBorder="1"/>
    <xf numFmtId="0" fontId="23" fillId="2" borderId="1" xfId="5" applyFont="1" applyFill="1" applyBorder="1" applyAlignment="1">
      <alignment horizontal="left" vertical="center" wrapText="1"/>
    </xf>
    <xf numFmtId="0" fontId="21" fillId="2" borderId="0" xfId="0" applyFont="1" applyFill="1"/>
    <xf numFmtId="0" fontId="22" fillId="2" borderId="0" xfId="0" applyFont="1" applyFill="1"/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/>
    <xf numFmtId="0" fontId="21" fillId="2" borderId="1" xfId="0" applyFont="1" applyFill="1" applyBorder="1"/>
    <xf numFmtId="0" fontId="21" fillId="2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left" vertical="center" wrapText="1"/>
    </xf>
    <xf numFmtId="165" fontId="21" fillId="2" borderId="1" xfId="2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left" vertical="center" wrapText="1"/>
    </xf>
    <xf numFmtId="43" fontId="21" fillId="2" borderId="1" xfId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horizontal="center" vertical="center"/>
    </xf>
    <xf numFmtId="166" fontId="21" fillId="2" borderId="1" xfId="1" applyNumberFormat="1" applyFont="1" applyFill="1" applyBorder="1" applyAlignment="1">
      <alignment horizontal="center" vertical="center"/>
    </xf>
    <xf numFmtId="0" fontId="22" fillId="2" borderId="0" xfId="4" applyFont="1" applyFill="1" applyBorder="1" applyAlignment="1">
      <alignment horizontal="center"/>
    </xf>
    <xf numFmtId="167" fontId="21" fillId="2" borderId="1" xfId="6" applyNumberFormat="1" applyFont="1" applyFill="1" applyBorder="1" applyAlignment="1">
      <alignment vertical="center"/>
    </xf>
    <xf numFmtId="0" fontId="22" fillId="2" borderId="0" xfId="4" applyFont="1" applyFill="1" applyBorder="1" applyAlignment="1">
      <alignment horizontal="center" vertical="center" wrapText="1"/>
    </xf>
    <xf numFmtId="0" fontId="21" fillId="2" borderId="1" xfId="4" applyFont="1" applyFill="1" applyBorder="1" applyAlignment="1">
      <alignment horizontal="center" vertical="center" wrapText="1"/>
    </xf>
    <xf numFmtId="4" fontId="22" fillId="2" borderId="23" xfId="4" applyNumberFormat="1" applyFont="1" applyFill="1" applyBorder="1"/>
    <xf numFmtId="4" fontId="26" fillId="2" borderId="1" xfId="4" applyNumberFormat="1" applyFont="1" applyFill="1" applyBorder="1"/>
    <xf numFmtId="4" fontId="8" fillId="2" borderId="1" xfId="4" applyNumberFormat="1" applyFont="1" applyFill="1" applyBorder="1"/>
    <xf numFmtId="0" fontId="22" fillId="2" borderId="39" xfId="4" applyFont="1" applyFill="1" applyBorder="1" applyAlignment="1">
      <alignment horizontal="center" vertical="center" wrapText="1"/>
    </xf>
    <xf numFmtId="0" fontId="22" fillId="2" borderId="40" xfId="4" applyFont="1" applyFill="1" applyBorder="1" applyAlignment="1">
      <alignment horizontal="center" vertical="center" wrapText="1"/>
    </xf>
    <xf numFmtId="0" fontId="22" fillId="2" borderId="23" xfId="4" applyFont="1" applyFill="1" applyBorder="1" applyAlignment="1">
      <alignment horizontal="center" vertical="center" wrapText="1"/>
    </xf>
    <xf numFmtId="0" fontId="22" fillId="2" borderId="0" xfId="5" applyFont="1" applyFill="1" applyBorder="1" applyAlignment="1">
      <alignment horizontal="center" vertical="center"/>
    </xf>
    <xf numFmtId="4" fontId="21" fillId="2" borderId="0" xfId="5" applyNumberFormat="1" applyFont="1" applyFill="1" applyBorder="1" applyAlignment="1">
      <alignment horizontal="center"/>
    </xf>
    <xf numFmtId="4" fontId="22" fillId="2" borderId="0" xfId="5" applyNumberFormat="1" applyFont="1" applyFill="1" applyBorder="1"/>
    <xf numFmtId="0" fontId="22" fillId="2" borderId="4" xfId="5" applyFont="1" applyFill="1" applyBorder="1" applyAlignment="1">
      <alignment horizontal="center" vertical="center"/>
    </xf>
    <xf numFmtId="0" fontId="0" fillId="0" borderId="23" xfId="0" applyBorder="1"/>
    <xf numFmtId="0" fontId="27" fillId="0" borderId="23" xfId="0" applyFont="1" applyBorder="1" applyAlignment="1">
      <alignment horizontal="left" wrapText="1" indent="2"/>
    </xf>
    <xf numFmtId="0" fontId="21" fillId="0" borderId="1" xfId="0" applyFont="1" applyBorder="1" applyAlignment="1">
      <alignment horizontal="left" wrapText="1" indent="2"/>
    </xf>
    <xf numFmtId="0" fontId="21" fillId="0" borderId="1" xfId="3" applyFont="1" applyBorder="1" applyAlignment="1" applyProtection="1">
      <alignment horizontal="left" wrapText="1" indent="2"/>
    </xf>
    <xf numFmtId="0" fontId="25" fillId="0" borderId="1" xfId="0" applyFont="1" applyBorder="1" applyAlignment="1">
      <alignment horizontal="left" wrapText="1" indent="2"/>
    </xf>
    <xf numFmtId="0" fontId="27" fillId="0" borderId="1" xfId="0" applyFont="1" applyBorder="1" applyAlignment="1">
      <alignment horizontal="left" wrapText="1" indent="2"/>
    </xf>
    <xf numFmtId="0" fontId="27" fillId="0" borderId="0" xfId="0" applyFont="1" applyBorder="1" applyAlignment="1">
      <alignment horizontal="left" wrapText="1" indent="2"/>
    </xf>
    <xf numFmtId="0" fontId="0" fillId="0" borderId="42" xfId="0" applyBorder="1"/>
    <xf numFmtId="43" fontId="26" fillId="2" borderId="1" xfId="1" applyFont="1" applyFill="1" applyBorder="1"/>
    <xf numFmtId="43" fontId="4" fillId="0" borderId="1" xfId="1" applyFont="1" applyBorder="1"/>
    <xf numFmtId="4" fontId="22" fillId="2" borderId="0" xfId="4" applyNumberFormat="1" applyFont="1" applyFill="1" applyBorder="1" applyAlignment="1">
      <alignment horizontal="center"/>
    </xf>
    <xf numFmtId="4" fontId="22" fillId="2" borderId="0" xfId="4" applyNumberFormat="1" applyFont="1" applyFill="1" applyBorder="1"/>
    <xf numFmtId="0" fontId="21" fillId="2" borderId="0" xfId="4" applyFont="1" applyFill="1" applyBorder="1" applyAlignment="1">
      <alignment horizontal="center"/>
    </xf>
    <xf numFmtId="49" fontId="21" fillId="2" borderId="0" xfId="4" applyNumberFormat="1" applyFont="1" applyFill="1" applyBorder="1"/>
    <xf numFmtId="4" fontId="21" fillId="2" borderId="0" xfId="4" applyNumberFormat="1" applyFont="1" applyFill="1" applyBorder="1"/>
    <xf numFmtId="49" fontId="22" fillId="2" borderId="0" xfId="4" applyNumberFormat="1" applyFont="1" applyFill="1" applyBorder="1"/>
    <xf numFmtId="0" fontId="23" fillId="2" borderId="0" xfId="5" applyFont="1" applyFill="1" applyBorder="1" applyAlignment="1">
      <alignment horizontal="center" vertical="center"/>
    </xf>
    <xf numFmtId="4" fontId="23" fillId="2" borderId="0" xfId="5" applyNumberFormat="1" applyFont="1" applyFill="1" applyBorder="1"/>
    <xf numFmtId="4" fontId="21" fillId="2" borderId="0" xfId="5" applyNumberFormat="1" applyFont="1" applyFill="1" applyBorder="1"/>
    <xf numFmtId="0" fontId="23" fillId="2" borderId="0" xfId="5" applyFont="1" applyFill="1" applyBorder="1" applyAlignment="1">
      <alignment horizontal="left" vertical="center" wrapText="1"/>
    </xf>
    <xf numFmtId="43" fontId="26" fillId="2" borderId="0" xfId="1" applyFont="1" applyFill="1" applyBorder="1"/>
    <xf numFmtId="0" fontId="25" fillId="0" borderId="0" xfId="0" applyFont="1" applyBorder="1" applyAlignment="1">
      <alignment horizontal="left" wrapText="1" indent="2"/>
    </xf>
    <xf numFmtId="43" fontId="4" fillId="0" borderId="0" xfId="1" applyFont="1" applyBorder="1"/>
    <xf numFmtId="0" fontId="21" fillId="2" borderId="0" xfId="0" applyFont="1" applyFill="1" applyBorder="1"/>
    <xf numFmtId="0" fontId="22" fillId="2" borderId="0" xfId="0" applyFont="1" applyFill="1" applyBorder="1"/>
    <xf numFmtId="0" fontId="22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 wrapText="1"/>
    </xf>
    <xf numFmtId="165" fontId="21" fillId="2" borderId="0" xfId="0" applyNumberFormat="1" applyFont="1" applyFill="1" applyBorder="1" applyAlignment="1">
      <alignment horizontal="left" vertical="center" wrapText="1"/>
    </xf>
    <xf numFmtId="165" fontId="21" fillId="2" borderId="0" xfId="2" applyNumberFormat="1" applyFont="1" applyFill="1" applyBorder="1" applyAlignment="1">
      <alignment horizontal="center" vertical="center"/>
    </xf>
    <xf numFmtId="2" fontId="21" fillId="2" borderId="0" xfId="0" applyNumberFormat="1" applyFont="1" applyFill="1" applyBorder="1" applyAlignment="1">
      <alignment horizontal="left" vertical="center" wrapText="1"/>
    </xf>
    <xf numFmtId="43" fontId="21" fillId="2" borderId="0" xfId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horizontal="left" vertical="center" wrapText="1"/>
    </xf>
    <xf numFmtId="166" fontId="21" fillId="2" borderId="0" xfId="1" applyNumberFormat="1" applyFont="1" applyFill="1" applyBorder="1" applyAlignment="1">
      <alignment horizontal="center" vertical="center"/>
    </xf>
    <xf numFmtId="0" fontId="22" fillId="2" borderId="27" xfId="5" applyFont="1" applyFill="1" applyBorder="1" applyAlignment="1"/>
    <xf numFmtId="0" fontId="22" fillId="2" borderId="43" xfId="5" applyFont="1" applyFill="1" applyBorder="1" applyAlignment="1"/>
    <xf numFmtId="0" fontId="22" fillId="2" borderId="44" xfId="5" applyFont="1" applyFill="1" applyBorder="1" applyAlignment="1"/>
    <xf numFmtId="43" fontId="3" fillId="0" borderId="1" xfId="1" applyFont="1" applyBorder="1" applyAlignment="1"/>
    <xf numFmtId="43" fontId="26" fillId="2" borderId="1" xfId="1" applyFont="1" applyFill="1" applyBorder="1" applyAlignment="1">
      <alignment horizontal="center" vertical="center" wrapText="1"/>
    </xf>
    <xf numFmtId="43" fontId="8" fillId="2" borderId="1" xfId="1" applyFont="1" applyFill="1" applyBorder="1"/>
    <xf numFmtId="43" fontId="19" fillId="0" borderId="1" xfId="1" applyFont="1" applyBorder="1"/>
    <xf numFmtId="0" fontId="22" fillId="2" borderId="0" xfId="5" applyFont="1" applyFill="1" applyBorder="1" applyAlignment="1"/>
    <xf numFmtId="0" fontId="22" fillId="2" borderId="45" xfId="4" applyFont="1" applyFill="1" applyBorder="1" applyAlignment="1">
      <alignment horizontal="center" vertical="center"/>
    </xf>
    <xf numFmtId="43" fontId="5" fillId="2" borderId="1" xfId="1" applyFont="1" applyFill="1" applyBorder="1"/>
    <xf numFmtId="0" fontId="3" fillId="0" borderId="1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0" xfId="0" applyFont="1" applyBorder="1"/>
    <xf numFmtId="0" fontId="26" fillId="2" borderId="1" xfId="4" applyFont="1" applyFill="1" applyBorder="1" applyAlignment="1">
      <alignment horizontal="center" vertical="center" wrapText="1"/>
    </xf>
    <xf numFmtId="0" fontId="26" fillId="2" borderId="1" xfId="4" applyFont="1" applyFill="1" applyBorder="1" applyAlignment="1">
      <alignment horizontal="center"/>
    </xf>
    <xf numFmtId="49" fontId="26" fillId="2" borderId="1" xfId="4" applyNumberFormat="1" applyFont="1" applyFill="1" applyBorder="1" applyAlignment="1">
      <alignment wrapText="1"/>
    </xf>
    <xf numFmtId="4" fontId="26" fillId="2" borderId="1" xfId="4" applyNumberFormat="1" applyFont="1" applyFill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49" fontId="8" fillId="2" borderId="1" xfId="4" applyNumberFormat="1" applyFont="1" applyFill="1" applyBorder="1"/>
    <xf numFmtId="49" fontId="8" fillId="2" borderId="1" xfId="4" applyNumberFormat="1" applyFont="1" applyFill="1" applyBorder="1" applyAlignment="1">
      <alignment wrapText="1"/>
    </xf>
    <xf numFmtId="49" fontId="26" fillId="2" borderId="1" xfId="4" applyNumberFormat="1" applyFont="1" applyFill="1" applyBorder="1"/>
    <xf numFmtId="0" fontId="26" fillId="2" borderId="39" xfId="4" applyFont="1" applyFill="1" applyBorder="1" applyAlignment="1">
      <alignment horizontal="center" vertical="center" wrapText="1"/>
    </xf>
    <xf numFmtId="0" fontId="26" fillId="2" borderId="40" xfId="4" applyFont="1" applyFill="1" applyBorder="1" applyAlignment="1">
      <alignment horizontal="center" vertical="center"/>
    </xf>
    <xf numFmtId="49" fontId="26" fillId="2" borderId="0" xfId="4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left" wrapText="1"/>
    </xf>
    <xf numFmtId="43" fontId="0" fillId="0" borderId="42" xfId="1" applyFont="1" applyBorder="1"/>
    <xf numFmtId="0" fontId="3" fillId="0" borderId="46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29" fillId="0" borderId="1" xfId="0" applyFont="1" applyBorder="1" applyAlignment="1">
      <alignment wrapText="1"/>
    </xf>
    <xf numFmtId="43" fontId="8" fillId="0" borderId="1" xfId="1" applyFont="1" applyBorder="1"/>
    <xf numFmtId="0" fontId="7" fillId="0" borderId="1" xfId="0" applyFont="1" applyBorder="1" applyAlignment="1"/>
    <xf numFmtId="0" fontId="4" fillId="0" borderId="1" xfId="0" applyFont="1" applyBorder="1"/>
    <xf numFmtId="43" fontId="4" fillId="0" borderId="1" xfId="0" applyNumberFormat="1" applyFont="1" applyBorder="1"/>
    <xf numFmtId="9" fontId="4" fillId="0" borderId="1" xfId="2" applyFont="1" applyBorder="1"/>
    <xf numFmtId="0" fontId="9" fillId="0" borderId="1" xfId="0" applyFont="1" applyFill="1" applyBorder="1" applyAlignment="1">
      <alignment vertical="center"/>
    </xf>
    <xf numFmtId="9" fontId="0" fillId="0" borderId="1" xfId="2" applyFont="1" applyBorder="1"/>
    <xf numFmtId="0" fontId="0" fillId="2" borderId="20" xfId="0" applyFill="1" applyBorder="1"/>
    <xf numFmtId="0" fontId="0" fillId="2" borderId="21" xfId="0" applyFill="1" applyBorder="1"/>
    <xf numFmtId="0" fontId="0" fillId="2" borderId="1" xfId="0" applyFill="1" applyBorder="1"/>
    <xf numFmtId="0" fontId="0" fillId="2" borderId="26" xfId="0" applyFill="1" applyBorder="1"/>
    <xf numFmtId="0" fontId="0" fillId="0" borderId="46" xfId="0" applyBorder="1"/>
    <xf numFmtId="43" fontId="13" fillId="0" borderId="42" xfId="1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0" fillId="0" borderId="48" xfId="0" applyBorder="1"/>
    <xf numFmtId="0" fontId="0" fillId="0" borderId="47" xfId="0" applyBorder="1"/>
    <xf numFmtId="0" fontId="0" fillId="3" borderId="42" xfId="0" applyFill="1" applyBorder="1"/>
    <xf numFmtId="0" fontId="0" fillId="2" borderId="42" xfId="0" applyFill="1" applyBorder="1"/>
    <xf numFmtId="0" fontId="15" fillId="0" borderId="42" xfId="0" applyFont="1" applyBorder="1" applyAlignment="1">
      <alignment vertical="center" wrapText="1"/>
    </xf>
    <xf numFmtId="0" fontId="2" fillId="0" borderId="46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49" xfId="5" applyFont="1" applyFill="1" applyBorder="1" applyAlignment="1"/>
    <xf numFmtId="43" fontId="26" fillId="2" borderId="2" xfId="1" applyFont="1" applyFill="1" applyBorder="1"/>
    <xf numFmtId="43" fontId="4" fillId="0" borderId="2" xfId="1" applyFont="1" applyBorder="1"/>
    <xf numFmtId="0" fontId="21" fillId="2" borderId="0" xfId="4" applyFont="1" applyFill="1" applyBorder="1" applyAlignment="1">
      <alignment horizontal="center" vertical="center" wrapText="1"/>
    </xf>
    <xf numFmtId="43" fontId="3" fillId="0" borderId="0" xfId="1" applyFont="1" applyBorder="1"/>
    <xf numFmtId="43" fontId="28" fillId="0" borderId="1" xfId="0" applyNumberFormat="1" applyFont="1" applyBorder="1"/>
    <xf numFmtId="0" fontId="3" fillId="0" borderId="36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left" vertical="top" wrapText="1"/>
    </xf>
    <xf numFmtId="43" fontId="3" fillId="0" borderId="23" xfId="1" applyFont="1" applyBorder="1" applyAlignment="1">
      <alignment horizontal="center" vertical="center" wrapText="1"/>
    </xf>
    <xf numFmtId="43" fontId="3" fillId="0" borderId="24" xfId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3" fontId="3" fillId="0" borderId="51" xfId="1" applyFont="1" applyBorder="1" applyAlignment="1">
      <alignment horizontal="center" vertical="center" wrapText="1"/>
    </xf>
    <xf numFmtId="43" fontId="0" fillId="0" borderId="4" xfId="0" applyNumberFormat="1" applyBorder="1"/>
    <xf numFmtId="43" fontId="3" fillId="0" borderId="50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/>
    </xf>
    <xf numFmtId="0" fontId="29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vertical="top" wrapText="1"/>
    </xf>
    <xf numFmtId="0" fontId="7" fillId="0" borderId="34" xfId="0" applyFont="1" applyBorder="1" applyAlignment="1">
      <alignment wrapText="1"/>
    </xf>
    <xf numFmtId="0" fontId="9" fillId="0" borderId="34" xfId="0" applyFont="1" applyBorder="1" applyAlignment="1">
      <alignment vertical="center"/>
    </xf>
    <xf numFmtId="0" fontId="9" fillId="0" borderId="34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29" fillId="0" borderId="2" xfId="0" applyFont="1" applyBorder="1" applyAlignment="1">
      <alignment wrapText="1"/>
    </xf>
    <xf numFmtId="0" fontId="7" fillId="0" borderId="53" xfId="0" applyFont="1" applyBorder="1"/>
    <xf numFmtId="0" fontId="3" fillId="0" borderId="55" xfId="0" applyFont="1" applyBorder="1" applyAlignment="1">
      <alignment horizontal="center" vertical="center" wrapText="1"/>
    </xf>
    <xf numFmtId="43" fontId="3" fillId="0" borderId="33" xfId="0" applyNumberFormat="1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  <xf numFmtId="43" fontId="3" fillId="0" borderId="33" xfId="1" applyFont="1" applyBorder="1" applyAlignment="1">
      <alignment vertical="center" wrapText="1"/>
    </xf>
    <xf numFmtId="0" fontId="7" fillId="0" borderId="33" xfId="0" applyFont="1" applyBorder="1" applyAlignment="1"/>
    <xf numFmtId="43" fontId="3" fillId="0" borderId="33" xfId="0" applyNumberFormat="1" applyFont="1" applyBorder="1" applyAlignment="1">
      <alignment horizontal="center"/>
    </xf>
    <xf numFmtId="0" fontId="3" fillId="4" borderId="14" xfId="0" applyFont="1" applyFill="1" applyBorder="1" applyAlignment="1">
      <alignment horizontal="center" vertical="center" wrapText="1"/>
    </xf>
    <xf numFmtId="43" fontId="0" fillId="4" borderId="26" xfId="1" applyFont="1" applyFill="1" applyBorder="1"/>
    <xf numFmtId="4" fontId="3" fillId="2" borderId="15" xfId="0" applyNumberFormat="1" applyFont="1" applyFill="1" applyBorder="1" applyAlignment="1">
      <alignment horizontal="center" vertical="center" wrapText="1"/>
    </xf>
    <xf numFmtId="4" fontId="3" fillId="2" borderId="34" xfId="0" applyNumberFormat="1" applyFont="1" applyFill="1" applyBorder="1" applyAlignment="1">
      <alignment horizontal="center" vertical="center" wrapText="1"/>
    </xf>
    <xf numFmtId="4" fontId="8" fillId="2" borderId="34" xfId="0" applyNumberFormat="1" applyFont="1" applyFill="1" applyBorder="1" applyAlignment="1">
      <alignment horizontal="center" vertical="center" wrapText="1"/>
    </xf>
    <xf numFmtId="0" fontId="7" fillId="2" borderId="36" xfId="0" applyFont="1" applyFill="1" applyBorder="1" applyAlignment="1"/>
    <xf numFmtId="43" fontId="3" fillId="2" borderId="34" xfId="1" applyFont="1" applyFill="1" applyBorder="1" applyAlignment="1">
      <alignment horizontal="center"/>
    </xf>
    <xf numFmtId="43" fontId="3" fillId="2" borderId="34" xfId="1" applyFont="1" applyFill="1" applyBorder="1"/>
    <xf numFmtId="43" fontId="8" fillId="2" borderId="34" xfId="1" applyFont="1" applyFill="1" applyBorder="1"/>
    <xf numFmtId="43" fontId="8" fillId="2" borderId="52" xfId="1" applyFont="1" applyFill="1" applyBorder="1"/>
    <xf numFmtId="43" fontId="7" fillId="2" borderId="53" xfId="0" applyNumberFormat="1" applyFont="1" applyFill="1" applyBorder="1"/>
    <xf numFmtId="4" fontId="3" fillId="4" borderId="14" xfId="0" applyNumberFormat="1" applyFont="1" applyFill="1" applyBorder="1" applyAlignment="1">
      <alignment horizontal="center" vertical="center" wrapText="1"/>
    </xf>
    <xf numFmtId="43" fontId="3" fillId="2" borderId="4" xfId="1" applyFont="1" applyFill="1" applyBorder="1"/>
    <xf numFmtId="0" fontId="3" fillId="2" borderId="12" xfId="0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horizontal="center" vertical="center" wrapText="1"/>
    </xf>
    <xf numFmtId="43" fontId="0" fillId="0" borderId="4" xfId="1" applyFont="1" applyBorder="1"/>
    <xf numFmtId="4" fontId="3" fillId="5" borderId="34" xfId="0" applyNumberFormat="1" applyFont="1" applyFill="1" applyBorder="1" applyAlignment="1">
      <alignment horizontal="center" vertical="center" wrapText="1"/>
    </xf>
    <xf numFmtId="43" fontId="0" fillId="5" borderId="26" xfId="1" applyFont="1" applyFill="1" applyBorder="1"/>
    <xf numFmtId="43" fontId="0" fillId="5" borderId="4" xfId="1" applyFont="1" applyFill="1" applyBorder="1"/>
    <xf numFmtId="43" fontId="3" fillId="5" borderId="4" xfId="1" applyFont="1" applyFill="1" applyBorder="1"/>
    <xf numFmtId="43" fontId="3" fillId="5" borderId="33" xfId="1" applyFont="1" applyFill="1" applyBorder="1" applyAlignment="1">
      <alignment vertical="center" wrapText="1"/>
    </xf>
    <xf numFmtId="43" fontId="0" fillId="5" borderId="4" xfId="0" applyNumberFormat="1" applyFill="1" applyBorder="1"/>
    <xf numFmtId="43" fontId="0" fillId="5" borderId="1" xfId="1" applyFont="1" applyFill="1" applyBorder="1"/>
    <xf numFmtId="43" fontId="3" fillId="5" borderId="1" xfId="1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4" fontId="8" fillId="5" borderId="34" xfId="0" applyNumberFormat="1" applyFont="1" applyFill="1" applyBorder="1" applyAlignment="1">
      <alignment horizontal="center" vertical="center" wrapText="1"/>
    </xf>
    <xf numFmtId="43" fontId="0" fillId="5" borderId="1" xfId="1" applyFont="1" applyFill="1" applyBorder="1" applyAlignment="1"/>
    <xf numFmtId="43" fontId="3" fillId="5" borderId="1" xfId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43" fontId="8" fillId="5" borderId="52" xfId="1" applyFont="1" applyFill="1" applyBorder="1"/>
    <xf numFmtId="43" fontId="3" fillId="5" borderId="33" xfId="0" applyNumberFormat="1" applyFont="1" applyFill="1" applyBorder="1" applyAlignment="1">
      <alignment horizontal="center"/>
    </xf>
    <xf numFmtId="43" fontId="0" fillId="5" borderId="42" xfId="1" applyFont="1" applyFill="1" applyBorder="1"/>
    <xf numFmtId="43" fontId="0" fillId="5" borderId="56" xfId="1" applyFont="1" applyFill="1" applyBorder="1"/>
    <xf numFmtId="0" fontId="3" fillId="5" borderId="57" xfId="0" applyFont="1" applyFill="1" applyBorder="1" applyAlignment="1">
      <alignment horizontal="center"/>
    </xf>
    <xf numFmtId="0" fontId="3" fillId="5" borderId="56" xfId="0" applyFont="1" applyFill="1" applyBorder="1" applyAlignment="1">
      <alignment horizontal="center"/>
    </xf>
    <xf numFmtId="43" fontId="8" fillId="5" borderId="34" xfId="1" applyFont="1" applyFill="1" applyBorder="1"/>
    <xf numFmtId="0" fontId="19" fillId="5" borderId="34" xfId="0" applyFont="1" applyFill="1" applyBorder="1" applyAlignment="1">
      <alignment horizontal="left" vertical="top" wrapText="1"/>
    </xf>
    <xf numFmtId="0" fontId="20" fillId="5" borderId="2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left" vertical="top" wrapText="1"/>
    </xf>
    <xf numFmtId="0" fontId="9" fillId="5" borderId="34" xfId="0" applyFont="1" applyFill="1" applyBorder="1" applyAlignment="1">
      <alignment vertical="center" wrapText="1"/>
    </xf>
    <xf numFmtId="0" fontId="20" fillId="5" borderId="2" xfId="0" applyFont="1" applyFill="1" applyBorder="1" applyAlignment="1">
      <alignment wrapText="1"/>
    </xf>
    <xf numFmtId="43" fontId="0" fillId="5" borderId="47" xfId="0" applyNumberFormat="1" applyFill="1" applyBorder="1"/>
    <xf numFmtId="43" fontId="3" fillId="5" borderId="58" xfId="0" applyNumberFormat="1" applyFont="1" applyFill="1" applyBorder="1" applyAlignment="1">
      <alignment horizontal="center"/>
    </xf>
    <xf numFmtId="43" fontId="3" fillId="5" borderId="1" xfId="1" applyFont="1" applyFill="1" applyBorder="1"/>
    <xf numFmtId="0" fontId="12" fillId="0" borderId="59" xfId="0" applyFont="1" applyFill="1" applyBorder="1"/>
    <xf numFmtId="0" fontId="12" fillId="0" borderId="10" xfId="0" applyFont="1" applyFill="1" applyBorder="1"/>
    <xf numFmtId="0" fontId="12" fillId="0" borderId="11" xfId="0" applyFont="1" applyFill="1" applyBorder="1"/>
    <xf numFmtId="0" fontId="12" fillId="0" borderId="60" xfId="0" applyFont="1" applyFill="1" applyBorder="1"/>
    <xf numFmtId="0" fontId="12" fillId="0" borderId="32" xfId="0" applyFont="1" applyBorder="1" applyAlignment="1"/>
    <xf numFmtId="0" fontId="12" fillId="0" borderId="29" xfId="0" applyFont="1" applyBorder="1" applyAlignment="1"/>
    <xf numFmtId="0" fontId="12" fillId="0" borderId="30" xfId="0" applyFont="1" applyBorder="1" applyAlignment="1"/>
    <xf numFmtId="0" fontId="12" fillId="0" borderId="54" xfId="0" applyFont="1" applyFill="1" applyBorder="1"/>
    <xf numFmtId="0" fontId="12" fillId="0" borderId="61" xfId="0" applyFont="1" applyFill="1" applyBorder="1"/>
    <xf numFmtId="0" fontId="12" fillId="0" borderId="17" xfId="0" applyFont="1" applyFill="1" applyBorder="1"/>
    <xf numFmtId="0" fontId="12" fillId="0" borderId="62" xfId="0" applyFont="1" applyFill="1" applyBorder="1"/>
    <xf numFmtId="0" fontId="12" fillId="0" borderId="18" xfId="0" applyFont="1" applyFill="1" applyBorder="1"/>
    <xf numFmtId="0" fontId="12" fillId="2" borderId="50" xfId="0" applyFont="1" applyFill="1" applyBorder="1" applyAlignment="1">
      <alignment horizontal="left" vertical="center"/>
    </xf>
    <xf numFmtId="0" fontId="12" fillId="2" borderId="63" xfId="0" applyFont="1" applyFill="1" applyBorder="1" applyAlignment="1">
      <alignment vertical="center"/>
    </xf>
    <xf numFmtId="0" fontId="12" fillId="0" borderId="64" xfId="0" applyFont="1" applyFill="1" applyBorder="1"/>
    <xf numFmtId="0" fontId="13" fillId="0" borderId="1" xfId="0" applyFont="1" applyBorder="1" applyAlignment="1">
      <alignment horizontal="center" vertical="center" wrapText="1"/>
    </xf>
    <xf numFmtId="0" fontId="12" fillId="0" borderId="65" xfId="0" applyFont="1" applyFill="1" applyBorder="1"/>
    <xf numFmtId="0" fontId="12" fillId="2" borderId="1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0" borderId="25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 wrapText="1"/>
    </xf>
    <xf numFmtId="0" fontId="12" fillId="3" borderId="10" xfId="0" applyFont="1" applyFill="1" applyBorder="1"/>
    <xf numFmtId="0" fontId="12" fillId="3" borderId="11" xfId="0" applyFont="1" applyFill="1" applyBorder="1"/>
    <xf numFmtId="0" fontId="12" fillId="3" borderId="59" xfId="0" applyFont="1" applyFill="1" applyBorder="1"/>
    <xf numFmtId="0" fontId="12" fillId="2" borderId="10" xfId="0" applyFont="1" applyFill="1" applyBorder="1"/>
    <xf numFmtId="43" fontId="3" fillId="0" borderId="1" xfId="0" applyNumberFormat="1" applyFont="1" applyBorder="1" applyAlignment="1">
      <alignment horizontal="center" wrapText="1"/>
    </xf>
    <xf numFmtId="43" fontId="3" fillId="0" borderId="1" xfId="1" applyFont="1" applyBorder="1" applyAlignment="1">
      <alignment horizontal="center" wrapText="1"/>
    </xf>
    <xf numFmtId="4" fontId="4" fillId="0" borderId="0" xfId="0" applyNumberFormat="1" applyFont="1"/>
    <xf numFmtId="4" fontId="3" fillId="0" borderId="66" xfId="0" applyNumberFormat="1" applyFont="1" applyBorder="1" applyAlignment="1">
      <alignment horizontal="center" vertical="center" wrapText="1"/>
    </xf>
    <xf numFmtId="43" fontId="0" fillId="5" borderId="0" xfId="0" applyNumberFormat="1" applyFill="1"/>
    <xf numFmtId="0" fontId="3" fillId="0" borderId="68" xfId="0" applyFont="1" applyBorder="1" applyAlignment="1">
      <alignment wrapText="1"/>
    </xf>
    <xf numFmtId="0" fontId="3" fillId="0" borderId="66" xfId="0" applyFont="1" applyBorder="1" applyAlignment="1">
      <alignment wrapText="1"/>
    </xf>
    <xf numFmtId="0" fontId="22" fillId="0" borderId="0" xfId="0" applyFont="1" applyFill="1" applyBorder="1" applyAlignment="1">
      <alignment vertical="center" wrapText="1"/>
    </xf>
    <xf numFmtId="10" fontId="21" fillId="0" borderId="0" xfId="0" applyNumberFormat="1" applyFont="1" applyFill="1" applyBorder="1" applyAlignment="1">
      <alignment horizontal="center"/>
    </xf>
    <xf numFmtId="168" fontId="21" fillId="0" borderId="0" xfId="7" applyNumberFormat="1" applyFont="1" applyBorder="1" applyAlignment="1">
      <alignment horizontal="right" vertical="center"/>
    </xf>
    <xf numFmtId="168" fontId="21" fillId="0" borderId="0" xfId="1" applyNumberFormat="1" applyFont="1" applyBorder="1" applyAlignment="1">
      <alignment horizontal="right" vertical="center"/>
    </xf>
    <xf numFmtId="0" fontId="21" fillId="0" borderId="0" xfId="0" applyFont="1" applyFill="1" applyBorder="1" applyAlignment="1">
      <alignment vertical="center" wrapText="1"/>
    </xf>
    <xf numFmtId="0" fontId="22" fillId="0" borderId="66" xfId="0" applyFont="1" applyFill="1" applyBorder="1"/>
    <xf numFmtId="0" fontId="21" fillId="0" borderId="66" xfId="0" applyFont="1" applyFill="1" applyBorder="1" applyAlignment="1">
      <alignment wrapText="1"/>
    </xf>
    <xf numFmtId="0" fontId="22" fillId="0" borderId="66" xfId="0" applyFont="1" applyFill="1" applyBorder="1" applyAlignment="1">
      <alignment vertical="center"/>
    </xf>
    <xf numFmtId="0" fontId="21" fillId="0" borderId="66" xfId="0" applyFont="1" applyBorder="1" applyAlignment="1">
      <alignment vertical="top" wrapText="1"/>
    </xf>
    <xf numFmtId="8" fontId="21" fillId="0" borderId="66" xfId="0" applyNumberFormat="1" applyFont="1" applyBorder="1"/>
    <xf numFmtId="4" fontId="21" fillId="0" borderId="66" xfId="0" applyNumberFormat="1" applyFont="1" applyBorder="1"/>
    <xf numFmtId="168" fontId="21" fillId="0" borderId="66" xfId="1" applyNumberFormat="1" applyFont="1" applyBorder="1" applyAlignment="1">
      <alignment horizontal="right" vertical="center"/>
    </xf>
    <xf numFmtId="2" fontId="21" fillId="0" borderId="66" xfId="0" applyNumberFormat="1" applyFont="1" applyBorder="1"/>
    <xf numFmtId="0" fontId="21" fillId="0" borderId="0" xfId="0" applyFont="1"/>
    <xf numFmtId="0" fontId="22" fillId="6" borderId="66" xfId="0" applyFont="1" applyFill="1" applyBorder="1" applyAlignment="1">
      <alignment horizontal="center" vertical="center" wrapText="1"/>
    </xf>
    <xf numFmtId="0" fontId="21" fillId="0" borderId="66" xfId="0" applyFont="1" applyBorder="1"/>
    <xf numFmtId="0" fontId="21" fillId="6" borderId="66" xfId="0" applyFont="1" applyFill="1" applyBorder="1"/>
    <xf numFmtId="10" fontId="21" fillId="0" borderId="66" xfId="0" applyNumberFormat="1" applyFont="1" applyBorder="1"/>
    <xf numFmtId="0" fontId="21" fillId="0" borderId="66" xfId="0" applyFont="1" applyBorder="1" applyAlignment="1">
      <alignment horizontal="left"/>
    </xf>
    <xf numFmtId="0" fontId="21" fillId="0" borderId="66" xfId="0" applyFont="1" applyBorder="1" applyAlignment="1">
      <alignment horizontal="left" wrapText="1"/>
    </xf>
    <xf numFmtId="0" fontId="21" fillId="0" borderId="66" xfId="0" applyFont="1" applyBorder="1" applyAlignment="1">
      <alignment wrapText="1"/>
    </xf>
    <xf numFmtId="10" fontId="33" fillId="0" borderId="66" xfId="0" applyNumberFormat="1" applyFont="1" applyBorder="1"/>
    <xf numFmtId="43" fontId="21" fillId="0" borderId="66" xfId="1" applyFont="1" applyBorder="1" applyAlignment="1">
      <alignment horizontal="right" vertical="center"/>
    </xf>
    <xf numFmtId="0" fontId="35" fillId="2" borderId="0" xfId="6" applyFont="1" applyFill="1" applyBorder="1" applyAlignment="1">
      <alignment horizontal="left"/>
    </xf>
    <xf numFmtId="0" fontId="0" fillId="2" borderId="0" xfId="0" applyFill="1" applyBorder="1"/>
    <xf numFmtId="0" fontId="34" fillId="2" borderId="0" xfId="6" applyFont="1" applyFill="1" applyBorder="1" applyAlignment="1">
      <alignment horizontal="left" vertical="center" wrapText="1"/>
    </xf>
    <xf numFmtId="0" fontId="34" fillId="2" borderId="0" xfId="6" applyFont="1" applyFill="1" applyBorder="1" applyAlignment="1">
      <alignment horizontal="left" vertical="center"/>
    </xf>
    <xf numFmtId="0" fontId="35" fillId="2" borderId="0" xfId="7" applyFont="1" applyFill="1" applyBorder="1" applyAlignment="1">
      <alignment horizontal="left" vertical="center"/>
    </xf>
    <xf numFmtId="0" fontId="34" fillId="2" borderId="0" xfId="6" applyFont="1" applyFill="1" applyBorder="1" applyAlignment="1">
      <alignment horizontal="left"/>
    </xf>
    <xf numFmtId="0" fontId="35" fillId="2" borderId="0" xfId="6" applyFont="1" applyFill="1" applyBorder="1" applyAlignment="1">
      <alignment horizontal="left" vertical="center"/>
    </xf>
    <xf numFmtId="0" fontId="35" fillId="2" borderId="0" xfId="0" applyFont="1" applyFill="1" applyBorder="1" applyAlignment="1">
      <alignment vertical="center" wrapText="1"/>
    </xf>
    <xf numFmtId="0" fontId="35" fillId="2" borderId="0" xfId="0" applyFont="1" applyFill="1" applyBorder="1" applyAlignment="1">
      <alignment horizontal="center" vertical="center" wrapText="1"/>
    </xf>
    <xf numFmtId="0" fontId="35" fillId="2" borderId="0" xfId="7" applyFont="1" applyFill="1" applyBorder="1" applyAlignment="1">
      <alignment horizontal="center" vertical="center"/>
    </xf>
    <xf numFmtId="0" fontId="35" fillId="2" borderId="0" xfId="0" applyFont="1" applyFill="1" applyBorder="1" applyAlignment="1">
      <alignment horizontal="left" vertical="center" wrapText="1"/>
    </xf>
    <xf numFmtId="167" fontId="34" fillId="2" borderId="0" xfId="7" applyNumberFormat="1" applyFont="1" applyFill="1" applyBorder="1" applyAlignment="1">
      <alignment horizontal="center" vertical="center"/>
    </xf>
    <xf numFmtId="43" fontId="35" fillId="2" borderId="0" xfId="1" applyFont="1" applyFill="1" applyBorder="1" applyAlignment="1">
      <alignment horizontal="center" vertical="center" wrapText="1"/>
    </xf>
    <xf numFmtId="43" fontId="35" fillId="2" borderId="0" xfId="1" applyFont="1" applyFill="1" applyBorder="1"/>
    <xf numFmtId="0" fontId="36" fillId="2" borderId="0" xfId="0" applyFont="1" applyFill="1" applyBorder="1" applyAlignment="1">
      <alignment vertical="center" wrapText="1"/>
    </xf>
    <xf numFmtId="43" fontId="34" fillId="2" borderId="0" xfId="1" applyFont="1" applyFill="1" applyBorder="1"/>
    <xf numFmtId="43" fontId="0" fillId="2" borderId="0" xfId="1" applyFont="1" applyFill="1" applyBorder="1"/>
    <xf numFmtId="8" fontId="35" fillId="2" borderId="0" xfId="1" applyNumberFormat="1" applyFont="1" applyFill="1" applyBorder="1" applyAlignment="1">
      <alignment horizontal="center" vertical="center" wrapText="1"/>
    </xf>
    <xf numFmtId="43" fontId="34" fillId="2" borderId="0" xfId="1" applyFont="1" applyFill="1" applyBorder="1" applyAlignment="1">
      <alignment vertical="center"/>
    </xf>
    <xf numFmtId="10" fontId="35" fillId="2" borderId="0" xfId="0" applyNumberFormat="1" applyFont="1" applyFill="1" applyBorder="1" applyAlignment="1">
      <alignment horizontal="center"/>
    </xf>
    <xf numFmtId="9" fontId="35" fillId="2" borderId="0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22" fillId="6" borderId="67" xfId="0" applyFont="1" applyFill="1" applyBorder="1" applyAlignment="1">
      <alignment horizontal="center" vertical="center" wrapText="1"/>
    </xf>
    <xf numFmtId="0" fontId="22" fillId="6" borderId="68" xfId="0" applyFont="1" applyFill="1" applyBorder="1" applyAlignment="1">
      <alignment horizontal="center" vertical="center" wrapText="1"/>
    </xf>
    <xf numFmtId="0" fontId="21" fillId="0" borderId="66" xfId="0" applyFont="1" applyBorder="1" applyAlignment="1">
      <alignment horizontal="left"/>
    </xf>
    <xf numFmtId="0" fontId="21" fillId="0" borderId="67" xfId="0" applyFont="1" applyBorder="1" applyAlignment="1">
      <alignment horizontal="left" wrapText="1"/>
    </xf>
    <xf numFmtId="0" fontId="21" fillId="0" borderId="68" xfId="0" applyFont="1" applyBorder="1" applyAlignment="1">
      <alignment horizontal="left" wrapText="1"/>
    </xf>
    <xf numFmtId="0" fontId="21" fillId="0" borderId="66" xfId="0" applyFont="1" applyBorder="1" applyAlignment="1">
      <alignment horizontal="left" wrapText="1"/>
    </xf>
    <xf numFmtId="0" fontId="12" fillId="0" borderId="28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22" fillId="2" borderId="42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2" fillId="2" borderId="0" xfId="0" applyFont="1" applyFill="1" applyBorder="1" applyAlignment="1">
      <alignment horizontal="center" vertical="center"/>
    </xf>
  </cellXfs>
  <cellStyles count="8">
    <cellStyle name="Dziesiętny" xfId="1" builtinId="3"/>
    <cellStyle name="Hiperłącze" xfId="3" builtinId="8"/>
    <cellStyle name="Normalny" xfId="0" builtinId="0"/>
    <cellStyle name="Normalny 7" xfId="4"/>
    <cellStyle name="Normalny 8" xfId="5"/>
    <cellStyle name="Normalny_tabele_do_SW" xfId="6"/>
    <cellStyle name="Normalny_tabele_do_SW - 4.4 Hardex" xfId="7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topLeftCell="A18" zoomScale="70" zoomScaleNormal="70" workbookViewId="0">
      <selection activeCell="A20" sqref="A20"/>
    </sheetView>
  </sheetViews>
  <sheetFormatPr defaultRowHeight="15"/>
  <cols>
    <col min="1" max="1" width="59" customWidth="1"/>
    <col min="2" max="3" width="16.5703125" customWidth="1"/>
    <col min="4" max="4" width="16.140625" customWidth="1"/>
    <col min="5" max="5" width="16.85546875" customWidth="1"/>
    <col min="6" max="6" width="17.42578125" customWidth="1"/>
    <col min="7" max="7" width="17" customWidth="1"/>
    <col min="8" max="8" width="15.5703125" customWidth="1"/>
    <col min="9" max="9" width="14.42578125" customWidth="1"/>
    <col min="10" max="10" width="17" customWidth="1"/>
    <col min="11" max="11" width="17.42578125" hidden="1" customWidth="1"/>
    <col min="12" max="12" width="15.85546875" customWidth="1"/>
    <col min="13" max="13" width="16" customWidth="1"/>
    <col min="14" max="14" width="14.42578125" customWidth="1"/>
    <col min="15" max="15" width="19.85546875" customWidth="1"/>
    <col min="16" max="16" width="15.28515625" customWidth="1"/>
    <col min="17" max="17" width="14.7109375" customWidth="1"/>
    <col min="18" max="18" width="14.5703125" customWidth="1"/>
    <col min="19" max="19" width="14" customWidth="1"/>
    <col min="20" max="20" width="11.85546875" customWidth="1"/>
  </cols>
  <sheetData>
    <row r="1" spans="1:8">
      <c r="A1" s="17" t="s">
        <v>8</v>
      </c>
    </row>
    <row r="3" spans="1:8" ht="24">
      <c r="A3" s="1" t="s">
        <v>4</v>
      </c>
      <c r="B3" s="2" t="s">
        <v>6</v>
      </c>
      <c r="C3" s="3" t="s">
        <v>0</v>
      </c>
      <c r="D3" s="3" t="s">
        <v>1</v>
      </c>
      <c r="E3" s="3" t="s">
        <v>2</v>
      </c>
      <c r="F3" s="3" t="s">
        <v>3</v>
      </c>
    </row>
    <row r="4" spans="1:8">
      <c r="A4" s="274" t="s">
        <v>272</v>
      </c>
      <c r="B4" s="2">
        <f>B25+C24</f>
        <v>26990</v>
      </c>
      <c r="C4" s="280" t="s">
        <v>288</v>
      </c>
      <c r="D4" s="273" t="s">
        <v>289</v>
      </c>
      <c r="E4" s="280" t="s">
        <v>288</v>
      </c>
      <c r="F4" s="273" t="s">
        <v>289</v>
      </c>
    </row>
    <row r="5" spans="1:8">
      <c r="A5" s="274" t="s">
        <v>322</v>
      </c>
      <c r="B5" s="370">
        <v>8500</v>
      </c>
      <c r="C5" s="3" t="s">
        <v>25</v>
      </c>
      <c r="D5" s="3" t="s">
        <v>323</v>
      </c>
      <c r="E5" s="3" t="s">
        <v>23</v>
      </c>
      <c r="F5" s="3" t="s">
        <v>284</v>
      </c>
    </row>
    <row r="6" spans="1:8">
      <c r="A6" s="7" t="s">
        <v>273</v>
      </c>
      <c r="B6" s="2">
        <v>8500</v>
      </c>
      <c r="C6" s="3" t="s">
        <v>25</v>
      </c>
      <c r="D6" s="3" t="s">
        <v>22</v>
      </c>
      <c r="E6" s="3" t="s">
        <v>23</v>
      </c>
      <c r="F6" s="3" t="s">
        <v>24</v>
      </c>
    </row>
    <row r="7" spans="1:8">
      <c r="A7" s="237" t="s">
        <v>324</v>
      </c>
      <c r="B7" s="2">
        <v>50000</v>
      </c>
      <c r="C7" s="3" t="s">
        <v>248</v>
      </c>
      <c r="D7" s="3" t="s">
        <v>5</v>
      </c>
      <c r="E7" s="3" t="s">
        <v>261</v>
      </c>
      <c r="F7" s="3" t="s">
        <v>252</v>
      </c>
    </row>
    <row r="8" spans="1:8">
      <c r="A8" s="7" t="s">
        <v>316</v>
      </c>
      <c r="B8" s="19">
        <v>150000</v>
      </c>
      <c r="C8" s="8" t="s">
        <v>248</v>
      </c>
      <c r="D8" s="8" t="s">
        <v>249</v>
      </c>
      <c r="E8" s="8" t="s">
        <v>250</v>
      </c>
      <c r="F8" s="8" t="s">
        <v>251</v>
      </c>
    </row>
    <row r="9" spans="1:8">
      <c r="A9" s="418" t="s">
        <v>325</v>
      </c>
      <c r="B9" s="419"/>
      <c r="C9" s="419"/>
      <c r="D9" s="419"/>
      <c r="E9" s="419"/>
      <c r="F9" s="420"/>
    </row>
    <row r="10" spans="1:8">
      <c r="A10" s="9" t="s">
        <v>326</v>
      </c>
      <c r="B10" s="10">
        <f>575262.39</f>
        <v>575262.39</v>
      </c>
      <c r="C10" s="8" t="s">
        <v>248</v>
      </c>
      <c r="D10" s="8" t="s">
        <v>249</v>
      </c>
      <c r="E10" s="8" t="s">
        <v>250</v>
      </c>
      <c r="F10" s="8" t="s">
        <v>253</v>
      </c>
      <c r="G10" s="5"/>
      <c r="H10" s="6"/>
    </row>
    <row r="11" spans="1:8">
      <c r="A11" s="9" t="s">
        <v>327</v>
      </c>
      <c r="B11" s="10">
        <f>B38+C38</f>
        <v>1963109.4200000002</v>
      </c>
      <c r="C11" s="220" t="s">
        <v>248</v>
      </c>
      <c r="D11" s="220" t="s">
        <v>249</v>
      </c>
      <c r="E11" s="220" t="s">
        <v>250</v>
      </c>
      <c r="F11" s="220" t="s">
        <v>259</v>
      </c>
      <c r="G11" s="5"/>
      <c r="H11" s="4"/>
    </row>
    <row r="12" spans="1:8">
      <c r="A12" s="9" t="s">
        <v>328</v>
      </c>
      <c r="B12" s="10">
        <f>368165.67</f>
        <v>368165.67</v>
      </c>
      <c r="C12" s="220" t="s">
        <v>248</v>
      </c>
      <c r="D12" s="220" t="s">
        <v>249</v>
      </c>
      <c r="E12" s="220" t="s">
        <v>250</v>
      </c>
      <c r="F12" s="220" t="s">
        <v>251</v>
      </c>
      <c r="G12" s="5"/>
      <c r="H12" s="4"/>
    </row>
    <row r="13" spans="1:8" ht="46.5" hidden="1" customHeight="1">
      <c r="A13" s="11"/>
      <c r="B13" s="12"/>
      <c r="C13" s="220"/>
      <c r="D13" s="220"/>
      <c r="E13" s="220"/>
      <c r="F13" s="220"/>
      <c r="G13" s="5"/>
      <c r="H13" s="4"/>
    </row>
    <row r="14" spans="1:8" ht="51.75" customHeight="1">
      <c r="A14" s="13" t="s">
        <v>329</v>
      </c>
      <c r="B14" s="12">
        <f>830883.84</f>
        <v>830883.83999999997</v>
      </c>
      <c r="C14" s="220" t="s">
        <v>248</v>
      </c>
      <c r="D14" s="220" t="s">
        <v>249</v>
      </c>
      <c r="E14" s="220" t="s">
        <v>250</v>
      </c>
      <c r="F14" s="220" t="s">
        <v>251</v>
      </c>
      <c r="G14" s="5"/>
      <c r="H14" s="4"/>
    </row>
    <row r="15" spans="1:8" ht="24.75">
      <c r="A15" s="14" t="s">
        <v>330</v>
      </c>
      <c r="B15" s="242">
        <v>10000</v>
      </c>
      <c r="C15" s="8" t="s">
        <v>254</v>
      </c>
      <c r="D15" s="8" t="s">
        <v>255</v>
      </c>
      <c r="E15" s="8" t="s">
        <v>256</v>
      </c>
      <c r="F15" s="8" t="s">
        <v>257</v>
      </c>
    </row>
    <row r="16" spans="1:8">
      <c r="A16" s="241" t="s">
        <v>319</v>
      </c>
      <c r="B16" s="242">
        <v>100000</v>
      </c>
      <c r="C16" s="220" t="s">
        <v>258</v>
      </c>
      <c r="D16" s="220" t="s">
        <v>259</v>
      </c>
      <c r="E16" s="220" t="s">
        <v>260</v>
      </c>
      <c r="F16" s="220" t="s">
        <v>257</v>
      </c>
    </row>
    <row r="17" spans="1:15">
      <c r="A17" s="11" t="s">
        <v>7</v>
      </c>
      <c r="B17" s="16">
        <f>B6+B7+B8+B10+B11+B12+B13+B14+B15+B16+B4+B5</f>
        <v>4091411.32</v>
      </c>
      <c r="C17" s="11"/>
      <c r="D17" s="11"/>
      <c r="E17" s="11"/>
      <c r="F17" s="11"/>
    </row>
    <row r="18" spans="1:15">
      <c r="A18" s="18"/>
      <c r="B18" s="91"/>
      <c r="C18" s="18"/>
      <c r="D18" s="18"/>
      <c r="E18" s="18"/>
      <c r="F18" s="18"/>
    </row>
    <row r="19" spans="1:15">
      <c r="A19" s="4"/>
      <c r="B19" s="76"/>
      <c r="C19" s="4"/>
      <c r="D19" s="4"/>
      <c r="E19" s="4"/>
      <c r="F19" s="4"/>
      <c r="K19" s="77"/>
    </row>
    <row r="20" spans="1:15">
      <c r="A20" s="17" t="s">
        <v>278</v>
      </c>
      <c r="B20" s="4"/>
      <c r="C20" s="4"/>
      <c r="D20" s="4"/>
      <c r="E20" s="4"/>
      <c r="F20" s="76"/>
      <c r="I20" s="77"/>
      <c r="K20" s="77"/>
    </row>
    <row r="21" spans="1:15">
      <c r="A21" s="17"/>
      <c r="B21" s="369"/>
      <c r="C21" s="369"/>
      <c r="D21" s="369"/>
      <c r="E21" s="4"/>
      <c r="F21" s="76"/>
      <c r="K21" s="77"/>
    </row>
    <row r="22" spans="1:15" ht="15.75" thickBot="1">
      <c r="A22" s="4"/>
      <c r="B22" s="4"/>
      <c r="C22" s="4"/>
      <c r="D22" s="4"/>
      <c r="E22" s="421"/>
      <c r="F22" s="421"/>
      <c r="G22" s="421"/>
      <c r="H22" s="422"/>
      <c r="I22" s="422"/>
      <c r="J22" s="422"/>
      <c r="K22" s="422"/>
    </row>
    <row r="23" spans="1:15" ht="83.25" customHeight="1">
      <c r="A23" s="93" t="s">
        <v>9</v>
      </c>
      <c r="B23" s="298" t="s">
        <v>45</v>
      </c>
      <c r="C23" s="307" t="s">
        <v>287</v>
      </c>
      <c r="D23" s="309" t="s">
        <v>285</v>
      </c>
      <c r="E23" s="296" t="s">
        <v>286</v>
      </c>
      <c r="F23" s="290" t="s">
        <v>11</v>
      </c>
      <c r="G23" s="277" t="s">
        <v>46</v>
      </c>
      <c r="H23" s="83" t="s">
        <v>41</v>
      </c>
      <c r="I23" s="83" t="s">
        <v>42</v>
      </c>
      <c r="J23" s="83" t="s">
        <v>361</v>
      </c>
      <c r="K23" s="83"/>
      <c r="L23" s="81" t="s">
        <v>43</v>
      </c>
      <c r="M23" s="82" t="s">
        <v>2</v>
      </c>
      <c r="N23" s="81" t="s">
        <v>3</v>
      </c>
    </row>
    <row r="24" spans="1:15" ht="16.5" customHeight="1">
      <c r="A24" s="274" t="s">
        <v>279</v>
      </c>
      <c r="B24" s="299">
        <v>0</v>
      </c>
      <c r="C24" s="297">
        <f>6000+5000</f>
        <v>11000</v>
      </c>
      <c r="D24" s="310">
        <v>0</v>
      </c>
      <c r="E24" s="297">
        <f>(C24*0.23)+J24+K24</f>
        <v>3634</v>
      </c>
      <c r="F24" s="291">
        <f>C24+E24</f>
        <v>14634</v>
      </c>
      <c r="G24" s="278">
        <v>0</v>
      </c>
      <c r="H24" s="275">
        <v>6150</v>
      </c>
      <c r="I24" s="275">
        <v>0</v>
      </c>
      <c r="J24" s="275">
        <v>1104</v>
      </c>
      <c r="K24" s="275"/>
      <c r="L24" s="276">
        <v>7380</v>
      </c>
      <c r="M24" s="280" t="s">
        <v>288</v>
      </c>
      <c r="N24" s="273" t="s">
        <v>289</v>
      </c>
    </row>
    <row r="25" spans="1:15" ht="16.5" customHeight="1">
      <c r="A25" s="274" t="s">
        <v>280</v>
      </c>
      <c r="B25" s="299">
        <f>3000+8190+4800</f>
        <v>15990</v>
      </c>
      <c r="C25" s="297">
        <v>0</v>
      </c>
      <c r="D25" s="310">
        <v>0</v>
      </c>
      <c r="E25" s="297">
        <v>0</v>
      </c>
      <c r="F25" s="292">
        <f>B25</f>
        <v>15990</v>
      </c>
      <c r="G25" s="278">
        <f>B25*0.85</f>
        <v>13591.5</v>
      </c>
      <c r="H25" s="275"/>
      <c r="I25" s="275">
        <v>1678.5</v>
      </c>
      <c r="J25" s="275">
        <v>720</v>
      </c>
      <c r="K25" s="275"/>
      <c r="L25" s="276">
        <v>0</v>
      </c>
      <c r="M25" s="280" t="s">
        <v>288</v>
      </c>
      <c r="N25" s="273" t="s">
        <v>289</v>
      </c>
    </row>
    <row r="26" spans="1:15" ht="17.25" customHeight="1">
      <c r="A26" s="274" t="s">
        <v>281</v>
      </c>
      <c r="B26" s="299">
        <v>0</v>
      </c>
      <c r="C26" s="297">
        <v>8500</v>
      </c>
      <c r="D26" s="308">
        <f>B26*0.23</f>
        <v>0</v>
      </c>
      <c r="E26" s="297">
        <f>C26*0.23</f>
        <v>1955</v>
      </c>
      <c r="F26" s="293">
        <f>C26+E26</f>
        <v>10455</v>
      </c>
      <c r="G26" s="278">
        <v>0</v>
      </c>
      <c r="H26" s="275">
        <f>1476</f>
        <v>1476</v>
      </c>
      <c r="I26" s="275">
        <v>5781</v>
      </c>
      <c r="J26" s="275">
        <v>984</v>
      </c>
      <c r="K26" s="275"/>
      <c r="L26" s="276">
        <v>2214</v>
      </c>
      <c r="M26" s="85" t="s">
        <v>23</v>
      </c>
      <c r="N26" s="86" t="s">
        <v>284</v>
      </c>
    </row>
    <row r="27" spans="1:15">
      <c r="A27" s="94" t="s">
        <v>290</v>
      </c>
      <c r="B27" s="299">
        <v>8500</v>
      </c>
      <c r="C27" s="297">
        <v>0</v>
      </c>
      <c r="D27" s="311">
        <v>0</v>
      </c>
      <c r="E27" s="308">
        <f>B27*0.23</f>
        <v>1955</v>
      </c>
      <c r="F27" s="293">
        <f>B27+E27+D27</f>
        <v>10455</v>
      </c>
      <c r="G27" s="279">
        <f>G29</f>
        <v>7225</v>
      </c>
      <c r="H27" s="79">
        <f>H29*0.15+H28</f>
        <v>456</v>
      </c>
      <c r="I27" s="79">
        <f t="shared" ref="I27:L27" si="0">I29*0.15+I28</f>
        <v>1786</v>
      </c>
      <c r="J27" s="79">
        <f t="shared" si="0"/>
        <v>304</v>
      </c>
      <c r="K27" s="79"/>
      <c r="L27" s="79">
        <f t="shared" si="0"/>
        <v>684</v>
      </c>
      <c r="M27" s="85" t="s">
        <v>23</v>
      </c>
      <c r="N27" s="86" t="s">
        <v>24</v>
      </c>
      <c r="O27" s="77"/>
    </row>
    <row r="28" spans="1:15">
      <c r="A28" s="333" t="s">
        <v>291</v>
      </c>
      <c r="B28" s="312">
        <v>8500</v>
      </c>
      <c r="C28" s="313"/>
      <c r="D28" s="314"/>
      <c r="E28" s="315"/>
      <c r="F28" s="316"/>
      <c r="G28" s="317"/>
      <c r="H28" s="318">
        <f>H29*0.23</f>
        <v>276</v>
      </c>
      <c r="I28" s="318">
        <f t="shared" ref="I28:L28" si="1">I29*0.23</f>
        <v>1081</v>
      </c>
      <c r="J28" s="318">
        <f t="shared" si="1"/>
        <v>184</v>
      </c>
      <c r="K28" s="318">
        <f t="shared" si="1"/>
        <v>0</v>
      </c>
      <c r="L28" s="318">
        <f t="shared" si="1"/>
        <v>414</v>
      </c>
      <c r="M28" s="320"/>
      <c r="N28" s="321"/>
    </row>
    <row r="29" spans="1:15">
      <c r="A29" s="333" t="s">
        <v>292</v>
      </c>
      <c r="B29" s="312">
        <v>9000</v>
      </c>
      <c r="C29" s="313"/>
      <c r="D29" s="314"/>
      <c r="E29" s="315"/>
      <c r="F29" s="316"/>
      <c r="G29" s="317">
        <f>(H29+I29+J29+K29+L29)*0.85</f>
        <v>7225</v>
      </c>
      <c r="H29" s="318">
        <f>B29*F59</f>
        <v>1200</v>
      </c>
      <c r="I29" s="319">
        <f>(B29*G59)</f>
        <v>4700</v>
      </c>
      <c r="J29" s="318">
        <f>B29*H59</f>
        <v>800</v>
      </c>
      <c r="K29" s="318"/>
      <c r="L29" s="313">
        <f>B29*J59</f>
        <v>1800</v>
      </c>
      <c r="M29" s="320"/>
      <c r="N29" s="321"/>
    </row>
    <row r="30" spans="1:15" ht="28.5" customHeight="1">
      <c r="A30" s="282" t="s">
        <v>293</v>
      </c>
      <c r="B30" s="299">
        <v>50000</v>
      </c>
      <c r="C30" s="297">
        <v>0</v>
      </c>
      <c r="D30" s="311">
        <v>0</v>
      </c>
      <c r="E30" s="308">
        <f>B30*0.23-D30</f>
        <v>11500</v>
      </c>
      <c r="F30" s="293">
        <f>B30+E30+D30</f>
        <v>61500</v>
      </c>
      <c r="G30" s="279">
        <f>G32</f>
        <v>42500</v>
      </c>
      <c r="H30" s="79">
        <f>H32*0.15+H31</f>
        <v>2924.4723765850408</v>
      </c>
      <c r="I30" s="79">
        <f t="shared" ref="I30:L30" si="2">I32*0.15+I31</f>
        <v>9979.8967754590758</v>
      </c>
      <c r="J30" s="79">
        <f t="shared" si="2"/>
        <v>1871.650833842838</v>
      </c>
      <c r="K30" s="79"/>
      <c r="L30" s="79">
        <f t="shared" si="2"/>
        <v>4223.9800141130463</v>
      </c>
      <c r="M30" s="85" t="s">
        <v>261</v>
      </c>
      <c r="N30" s="86" t="s">
        <v>252</v>
      </c>
      <c r="O30" s="77"/>
    </row>
    <row r="31" spans="1:15" ht="28.5" hidden="1" customHeight="1">
      <c r="A31" s="334" t="s">
        <v>297</v>
      </c>
      <c r="B31" s="312">
        <v>50000</v>
      </c>
      <c r="C31" s="313"/>
      <c r="D31" s="314"/>
      <c r="E31" s="315"/>
      <c r="F31" s="316"/>
      <c r="G31" s="317"/>
      <c r="H31" s="318">
        <f>B31*C52*0.23</f>
        <v>1770.0753858277878</v>
      </c>
      <c r="I31" s="371">
        <f>B31*C53*0.23</f>
        <v>6040.463837777862</v>
      </c>
      <c r="J31" s="318">
        <f>B31*C54*0.23</f>
        <v>1132.8412941680335</v>
      </c>
      <c r="K31" s="318"/>
      <c r="L31" s="313">
        <f>B31*C56*0.23</f>
        <v>2556.6194822263174</v>
      </c>
      <c r="M31" s="320"/>
      <c r="N31" s="321"/>
    </row>
    <row r="32" spans="1:15" ht="28.5" hidden="1" customHeight="1">
      <c r="A32" s="334" t="s">
        <v>298</v>
      </c>
      <c r="B32" s="312">
        <v>50000</v>
      </c>
      <c r="C32" s="313"/>
      <c r="D32" s="314"/>
      <c r="E32" s="315"/>
      <c r="F32" s="316"/>
      <c r="G32" s="317">
        <f>(H32+I32+J32+K32+L32)*0.85</f>
        <v>42500</v>
      </c>
      <c r="H32" s="318">
        <f>B32*C52</f>
        <v>7695.9799383816862</v>
      </c>
      <c r="I32" s="319">
        <f>B32*C53</f>
        <v>26262.886251208096</v>
      </c>
      <c r="J32" s="318">
        <f>B32*C54</f>
        <v>4925.3969311653627</v>
      </c>
      <c r="K32" s="318"/>
      <c r="L32" s="313">
        <f>B32*C56</f>
        <v>11115.736879244858</v>
      </c>
      <c r="M32" s="320"/>
      <c r="N32" s="321"/>
    </row>
    <row r="33" spans="1:15">
      <c r="A33" s="283" t="s">
        <v>316</v>
      </c>
      <c r="B33" s="300">
        <v>150000</v>
      </c>
      <c r="C33" s="297">
        <v>0</v>
      </c>
      <c r="D33" s="311">
        <v>0</v>
      </c>
      <c r="E33" s="308">
        <f>B33*0.23-D33</f>
        <v>34500</v>
      </c>
      <c r="F33" s="293">
        <f>B33+E33+D33</f>
        <v>184500</v>
      </c>
      <c r="G33" s="279">
        <f>G35</f>
        <v>127500</v>
      </c>
      <c r="H33" s="79">
        <f>H35*0.15+H34</f>
        <v>8773.417129755122</v>
      </c>
      <c r="I33" s="79">
        <f t="shared" ref="I33:L33" si="3">I35*0.15+I34</f>
        <v>29939.690326377229</v>
      </c>
      <c r="J33" s="79">
        <f t="shared" si="3"/>
        <v>5614.9525015285144</v>
      </c>
      <c r="K33" s="79"/>
      <c r="L33" s="79">
        <f t="shared" si="3"/>
        <v>12671.94004233914</v>
      </c>
      <c r="M33" s="87" t="s">
        <v>250</v>
      </c>
      <c r="N33" s="88" t="s">
        <v>251</v>
      </c>
      <c r="O33" s="77"/>
    </row>
    <row r="34" spans="1:15" ht="24">
      <c r="A34" s="335" t="s">
        <v>317</v>
      </c>
      <c r="B34" s="322">
        <v>150000</v>
      </c>
      <c r="C34" s="313"/>
      <c r="D34" s="314"/>
      <c r="E34" s="315"/>
      <c r="F34" s="316"/>
      <c r="G34" s="317"/>
      <c r="H34" s="323">
        <f>B34*C52*0.23</f>
        <v>5310.2261574833637</v>
      </c>
      <c r="I34" s="323">
        <f>B34*C53*0.23</f>
        <v>18121.391513333587</v>
      </c>
      <c r="J34" s="323">
        <f>B34*C54*0.23</f>
        <v>3398.5238825041006</v>
      </c>
      <c r="K34" s="323"/>
      <c r="L34" s="323">
        <f>B34*C56*0.23</f>
        <v>7669.8584466789534</v>
      </c>
      <c r="M34" s="325"/>
      <c r="N34" s="325"/>
    </row>
    <row r="35" spans="1:15">
      <c r="A35" s="335" t="s">
        <v>318</v>
      </c>
      <c r="B35" s="322">
        <v>150000</v>
      </c>
      <c r="C35" s="313"/>
      <c r="D35" s="314"/>
      <c r="E35" s="315"/>
      <c r="F35" s="316"/>
      <c r="G35" s="317">
        <f>(H35+I35+J35+K35+L35)*0.85</f>
        <v>127500</v>
      </c>
      <c r="H35" s="318">
        <f>B34*C52</f>
        <v>23087.939815145059</v>
      </c>
      <c r="I35" s="324">
        <f>B35*C53</f>
        <v>78788.658753624288</v>
      </c>
      <c r="J35" s="318">
        <f>B35*C54</f>
        <v>14776.190793496089</v>
      </c>
      <c r="K35" s="318"/>
      <c r="L35" s="318">
        <f>B35*C56</f>
        <v>33347.210637734577</v>
      </c>
      <c r="M35" s="325"/>
      <c r="N35" s="325"/>
    </row>
    <row r="36" spans="1:15" ht="24.75">
      <c r="A36" s="284" t="s">
        <v>282</v>
      </c>
      <c r="B36" s="301"/>
      <c r="C36" s="297">
        <v>0</v>
      </c>
      <c r="D36" s="311"/>
      <c r="E36" s="308"/>
      <c r="F36" s="294"/>
      <c r="G36" s="279">
        <f>B36*0.85</f>
        <v>0</v>
      </c>
      <c r="H36" s="243"/>
      <c r="I36" s="243"/>
      <c r="J36" s="243"/>
      <c r="K36" s="243"/>
      <c r="L36" s="243"/>
      <c r="M36" s="243"/>
      <c r="N36" s="243"/>
    </row>
    <row r="37" spans="1:15">
      <c r="A37" s="285" t="s">
        <v>275</v>
      </c>
      <c r="B37" s="302">
        <f>575262.39</f>
        <v>575262.39</v>
      </c>
      <c r="C37" s="297">
        <v>0</v>
      </c>
      <c r="D37" s="311"/>
      <c r="E37" s="308">
        <f>B37*0.23</f>
        <v>132310.34970000002</v>
      </c>
      <c r="F37" s="295">
        <f>B37+E37</f>
        <v>707572.73970000003</v>
      </c>
      <c r="G37" s="279">
        <f>B37*0.85</f>
        <v>488973.03149999998</v>
      </c>
      <c r="H37" s="79">
        <f>F37-G37</f>
        <v>218599.70820000005</v>
      </c>
      <c r="I37" s="10">
        <v>0</v>
      </c>
      <c r="J37" s="79">
        <v>0</v>
      </c>
      <c r="K37" s="79"/>
      <c r="L37" s="84">
        <v>0</v>
      </c>
      <c r="M37" s="87" t="s">
        <v>250</v>
      </c>
      <c r="N37" s="88" t="s">
        <v>253</v>
      </c>
    </row>
    <row r="38" spans="1:15">
      <c r="A38" s="285" t="s">
        <v>276</v>
      </c>
      <c r="B38" s="302">
        <f>2246623.1-283513.68-59989.35</f>
        <v>1903120.07</v>
      </c>
      <c r="C38" s="297">
        <v>59989.35</v>
      </c>
      <c r="D38" s="308">
        <v>0</v>
      </c>
      <c r="E38" s="77">
        <f>(C38+B38)*0.23</f>
        <v>451515.16660000006</v>
      </c>
      <c r="F38" s="295">
        <f>B38+D38+C38+E38</f>
        <v>2414624.5866</v>
      </c>
      <c r="G38" s="279">
        <f>B38*0.85</f>
        <v>1617652.0595</v>
      </c>
      <c r="H38" s="79">
        <v>0</v>
      </c>
      <c r="I38" s="10">
        <f>F38-G38</f>
        <v>796972.52710000006</v>
      </c>
      <c r="J38" s="79">
        <v>0</v>
      </c>
      <c r="K38" s="79"/>
      <c r="L38" s="84">
        <v>0</v>
      </c>
      <c r="M38" s="87" t="s">
        <v>250</v>
      </c>
      <c r="N38" s="88" t="s">
        <v>259</v>
      </c>
      <c r="O38" s="77"/>
    </row>
    <row r="39" spans="1:15">
      <c r="A39" s="285" t="s">
        <v>277</v>
      </c>
      <c r="B39" s="302">
        <f>368165.67</f>
        <v>368165.67</v>
      </c>
      <c r="C39" s="297">
        <v>0</v>
      </c>
      <c r="D39" s="311"/>
      <c r="E39" s="308">
        <f>B39*0.23</f>
        <v>84678.104099999997</v>
      </c>
      <c r="F39" s="295">
        <f>B39+E39</f>
        <v>452843.77409999998</v>
      </c>
      <c r="G39" s="279">
        <f>B39*0.85</f>
        <v>312940.81949999998</v>
      </c>
      <c r="H39" s="79">
        <v>0</v>
      </c>
      <c r="I39" s="79">
        <v>0</v>
      </c>
      <c r="J39" s="79">
        <f>F39-G39</f>
        <v>139902.9546</v>
      </c>
      <c r="K39" s="79"/>
      <c r="L39" s="84">
        <v>0</v>
      </c>
      <c r="M39" s="87" t="s">
        <v>250</v>
      </c>
      <c r="N39" s="88" t="s">
        <v>251</v>
      </c>
    </row>
    <row r="40" spans="1:15">
      <c r="A40" s="285"/>
      <c r="B40" s="303"/>
      <c r="C40" s="297"/>
      <c r="D40" s="311"/>
      <c r="E40" s="308"/>
      <c r="F40" s="295"/>
      <c r="G40" s="279"/>
      <c r="H40" s="79"/>
      <c r="I40" s="79"/>
      <c r="J40" s="79"/>
      <c r="K40" s="79"/>
      <c r="L40" s="84"/>
      <c r="M40" s="87"/>
      <c r="N40" s="88"/>
    </row>
    <row r="41" spans="1:15">
      <c r="A41" s="286" t="s">
        <v>315</v>
      </c>
      <c r="B41" s="303">
        <f>830883.84</f>
        <v>830883.83999999997</v>
      </c>
      <c r="C41" s="297">
        <v>0</v>
      </c>
      <c r="D41" s="311"/>
      <c r="E41" s="308">
        <f>B41*0.23</f>
        <v>191103.28320000001</v>
      </c>
      <c r="F41" s="295">
        <f>B41+E41</f>
        <v>1021987.1232</v>
      </c>
      <c r="G41" s="279">
        <f>B41*0.85</f>
        <v>706251.26399999997</v>
      </c>
      <c r="H41" s="79">
        <v>0</v>
      </c>
      <c r="I41" s="79">
        <v>0</v>
      </c>
      <c r="J41" s="79">
        <v>0</v>
      </c>
      <c r="K41" s="79"/>
      <c r="L41" s="84">
        <f>F41-G41</f>
        <v>315735.85920000006</v>
      </c>
      <c r="M41" s="87" t="s">
        <v>250</v>
      </c>
      <c r="N41" s="88" t="s">
        <v>251</v>
      </c>
    </row>
    <row r="42" spans="1:15" ht="22.5">
      <c r="A42" s="287" t="s">
        <v>295</v>
      </c>
      <c r="B42" s="304">
        <v>10000</v>
      </c>
      <c r="C42" s="297">
        <v>0</v>
      </c>
      <c r="D42" s="311">
        <v>0</v>
      </c>
      <c r="E42" s="308">
        <f>B42*0.23-D42</f>
        <v>2300</v>
      </c>
      <c r="F42" s="295">
        <f>B42+E42+D42</f>
        <v>12300</v>
      </c>
      <c r="G42" s="279">
        <f>G44</f>
        <v>8500</v>
      </c>
      <c r="H42" s="79">
        <f>H44*0.15+H43</f>
        <v>584.89447531700807</v>
      </c>
      <c r="I42" s="79">
        <f t="shared" ref="I42:L42" si="4">I44*0.15+I43</f>
        <v>1995.9793550918153</v>
      </c>
      <c r="J42" s="79">
        <f t="shared" si="4"/>
        <v>374.33016676856755</v>
      </c>
      <c r="K42" s="79"/>
      <c r="L42" s="79">
        <f t="shared" si="4"/>
        <v>844.79600282260935</v>
      </c>
      <c r="M42" s="87" t="s">
        <v>256</v>
      </c>
      <c r="N42" s="88" t="s">
        <v>257</v>
      </c>
      <c r="O42" s="77"/>
    </row>
    <row r="43" spans="1:15" ht="22.5">
      <c r="A43" s="336" t="s">
        <v>296</v>
      </c>
      <c r="B43" s="332">
        <v>10000</v>
      </c>
      <c r="C43" s="313"/>
      <c r="D43" s="314"/>
      <c r="E43" s="315"/>
      <c r="F43" s="327"/>
      <c r="G43" s="317"/>
      <c r="H43" s="328">
        <f>B43*C52*0.23</f>
        <v>354.01507716555756</v>
      </c>
      <c r="I43" s="328">
        <f>B43*C53*0.23</f>
        <v>1208.0927675555724</v>
      </c>
      <c r="J43" s="328">
        <f>B43*C54*0.23</f>
        <v>226.56825883360671</v>
      </c>
      <c r="K43" s="328"/>
      <c r="L43" s="329">
        <f>B43*C56*0.23</f>
        <v>511.32389644526359</v>
      </c>
      <c r="M43" s="330"/>
      <c r="N43" s="331"/>
    </row>
    <row r="44" spans="1:15" ht="22.5">
      <c r="A44" s="336" t="s">
        <v>294</v>
      </c>
      <c r="B44" s="332">
        <v>10000</v>
      </c>
      <c r="C44" s="313"/>
      <c r="D44" s="314"/>
      <c r="E44" s="315"/>
      <c r="F44" s="327"/>
      <c r="G44" s="317">
        <f>(H44+I44+J44+K44+L44)*0.85</f>
        <v>8500</v>
      </c>
      <c r="H44" s="328">
        <f>B44*C52</f>
        <v>1539.1959876763372</v>
      </c>
      <c r="I44" s="328">
        <f>B44*C53</f>
        <v>5252.5772502416194</v>
      </c>
      <c r="J44" s="328">
        <f>B44*C54</f>
        <v>985.07938623307257</v>
      </c>
      <c r="K44" s="328"/>
      <c r="L44" s="329">
        <f>B44*C56</f>
        <v>2223.1473758489719</v>
      </c>
      <c r="M44" s="330"/>
      <c r="N44" s="331"/>
    </row>
    <row r="45" spans="1:15">
      <c r="A45" s="288" t="s">
        <v>319</v>
      </c>
      <c r="B45" s="305">
        <v>100000</v>
      </c>
      <c r="C45" s="297">
        <v>0</v>
      </c>
      <c r="D45" s="311">
        <v>0</v>
      </c>
      <c r="E45" s="308">
        <f>B45*0.23-D45</f>
        <v>23000</v>
      </c>
      <c r="F45" s="295">
        <f>B45+E45+D45</f>
        <v>123000</v>
      </c>
      <c r="G45" s="279">
        <f>G47</f>
        <v>85000</v>
      </c>
      <c r="H45" s="238">
        <f>H47*0.15+H46</f>
        <v>5848.9447531700816</v>
      </c>
      <c r="I45" s="238">
        <f t="shared" ref="I45:L45" si="5">I47*0.15+I46</f>
        <v>19959.793550918152</v>
      </c>
      <c r="J45" s="238">
        <f t="shared" si="5"/>
        <v>3743.301667685676</v>
      </c>
      <c r="K45" s="238"/>
      <c r="L45" s="238">
        <f t="shared" si="5"/>
        <v>8447.9600282260926</v>
      </c>
      <c r="M45" s="239" t="s">
        <v>260</v>
      </c>
      <c r="N45" s="240" t="s">
        <v>257</v>
      </c>
      <c r="O45" s="77"/>
    </row>
    <row r="46" spans="1:15" hidden="1">
      <c r="A46" s="337" t="s">
        <v>320</v>
      </c>
      <c r="B46" s="326">
        <v>100000</v>
      </c>
      <c r="C46" s="318"/>
      <c r="D46" s="318"/>
      <c r="E46" s="340"/>
      <c r="F46" s="339"/>
      <c r="G46" s="338"/>
      <c r="H46" s="328">
        <f>B46*C52*0.23</f>
        <v>3540.1507716555757</v>
      </c>
      <c r="I46" s="328">
        <f>B46*C53*0.23</f>
        <v>12080.927675555724</v>
      </c>
      <c r="J46" s="328">
        <f>B46*C54*0.23</f>
        <v>2265.6825883360671</v>
      </c>
      <c r="K46" s="328"/>
      <c r="L46" s="329">
        <f>B46*C56*0.23</f>
        <v>5113.2389644526347</v>
      </c>
      <c r="M46" s="330"/>
      <c r="N46" s="331"/>
    </row>
    <row r="47" spans="1:15" hidden="1">
      <c r="A47" s="337" t="s">
        <v>321</v>
      </c>
      <c r="B47" s="326">
        <v>100000</v>
      </c>
      <c r="C47" s="318"/>
      <c r="D47" s="318"/>
      <c r="E47" s="340"/>
      <c r="F47" s="339"/>
      <c r="G47" s="338">
        <f>(H47+I47+J47+K47+L47)*0.85</f>
        <v>85000</v>
      </c>
      <c r="H47" s="328">
        <f>B47*C52</f>
        <v>15391.959876763372</v>
      </c>
      <c r="I47" s="328">
        <f>B47*C53</f>
        <v>52525.772502416192</v>
      </c>
      <c r="J47" s="328">
        <f>B47*C54</f>
        <v>9850.7938623307255</v>
      </c>
      <c r="K47" s="328"/>
      <c r="L47" s="329">
        <f>B47*C56</f>
        <v>22231.473758489716</v>
      </c>
      <c r="M47" s="330"/>
      <c r="N47" s="331"/>
      <c r="O47" s="77"/>
    </row>
    <row r="48" spans="1:15" ht="15.75" thickBot="1">
      <c r="A48" s="289" t="s">
        <v>7</v>
      </c>
      <c r="B48" s="306">
        <f>B24+B25+B26+B27+B30+B33+B37+B38+B39+B40+B41+B42+B45</f>
        <v>4011921.9699999997</v>
      </c>
      <c r="C48" s="306">
        <f t="shared" ref="C48:L48" si="6">C24+C25+C26+C27+C30+C33+C37+C38+C39+C40+C41+C42+C45</f>
        <v>79489.350000000006</v>
      </c>
      <c r="D48" s="306">
        <f t="shared" si="6"/>
        <v>0</v>
      </c>
      <c r="E48" s="306">
        <f t="shared" si="6"/>
        <v>938450.90360000008</v>
      </c>
      <c r="F48" s="306">
        <f t="shared" si="6"/>
        <v>5029862.2236000001</v>
      </c>
      <c r="G48" s="306">
        <f t="shared" si="6"/>
        <v>3410133.6745000002</v>
      </c>
      <c r="H48" s="306">
        <f t="shared" si="6"/>
        <v>244813.4369348273</v>
      </c>
      <c r="I48" s="306">
        <f t="shared" si="6"/>
        <v>868093.38710784633</v>
      </c>
      <c r="J48" s="306">
        <f t="shared" si="6"/>
        <v>154619.18976982561</v>
      </c>
      <c r="K48" s="306"/>
      <c r="L48" s="306">
        <f t="shared" si="6"/>
        <v>352202.53528750094</v>
      </c>
      <c r="M48" s="89"/>
      <c r="N48" s="90"/>
      <c r="O48" s="77"/>
    </row>
    <row r="49" spans="1:12">
      <c r="A49" s="4"/>
      <c r="B49" s="369"/>
      <c r="C49" s="369"/>
      <c r="D49" s="76"/>
      <c r="E49" s="76"/>
      <c r="F49" s="369"/>
      <c r="G49" s="77">
        <f>F48-G48</f>
        <v>1619728.5490999999</v>
      </c>
      <c r="J49" s="77"/>
    </row>
    <row r="50" spans="1:12">
      <c r="A50" s="4"/>
      <c r="B50" s="4"/>
      <c r="C50" s="4"/>
      <c r="D50" s="4"/>
      <c r="E50" s="76"/>
      <c r="F50" s="4"/>
      <c r="G50" s="77"/>
    </row>
    <row r="51" spans="1:12">
      <c r="A51" s="243" t="s">
        <v>26</v>
      </c>
      <c r="B51" s="244"/>
      <c r="C51" s="244"/>
      <c r="D51" s="244"/>
      <c r="E51" s="244"/>
      <c r="F51" s="244"/>
      <c r="G51" s="37"/>
      <c r="H51" s="37"/>
      <c r="I51" s="37"/>
      <c r="J51" s="37"/>
    </row>
    <row r="52" spans="1:12">
      <c r="A52" s="20" t="s">
        <v>27</v>
      </c>
      <c r="B52" s="245">
        <f>B37</f>
        <v>575262.39</v>
      </c>
      <c r="C52" s="246">
        <f>B52/B$57</f>
        <v>0.15391959876763373</v>
      </c>
      <c r="D52" s="244"/>
      <c r="E52" s="244"/>
      <c r="F52" s="244"/>
      <c r="G52" s="102"/>
      <c r="H52" s="37"/>
      <c r="I52" s="37"/>
      <c r="J52" s="37"/>
    </row>
    <row r="53" spans="1:12">
      <c r="A53" s="20" t="s">
        <v>28</v>
      </c>
      <c r="B53" s="245">
        <f>B38+C38</f>
        <v>1963109.4200000002</v>
      </c>
      <c r="C53" s="246">
        <f t="shared" ref="C53:C57" si="7">B53/B$57</f>
        <v>0.5252577250241619</v>
      </c>
      <c r="D53" s="244"/>
      <c r="E53" s="244"/>
      <c r="F53" s="244"/>
      <c r="G53" s="102"/>
      <c r="H53" s="37"/>
      <c r="I53" s="37"/>
      <c r="J53" s="37"/>
    </row>
    <row r="54" spans="1:12">
      <c r="A54" s="20" t="s">
        <v>29</v>
      </c>
      <c r="B54" s="245">
        <f>B39</f>
        <v>368165.67</v>
      </c>
      <c r="C54" s="246">
        <f t="shared" si="7"/>
        <v>9.8507938623307256E-2</v>
      </c>
      <c r="D54" s="244"/>
      <c r="E54" s="244"/>
      <c r="F54" s="244"/>
      <c r="G54" s="37"/>
      <c r="H54" s="37"/>
      <c r="I54" s="37"/>
      <c r="J54" s="37"/>
    </row>
    <row r="55" spans="1:12" hidden="1">
      <c r="A55" s="20"/>
      <c r="B55" s="245"/>
      <c r="C55" s="246"/>
      <c r="D55" s="244"/>
      <c r="E55" s="244"/>
      <c r="F55" s="244"/>
      <c r="G55" s="37"/>
      <c r="H55" s="37"/>
      <c r="I55" s="37"/>
      <c r="J55" s="37"/>
    </row>
    <row r="56" spans="1:12">
      <c r="A56" s="21" t="s">
        <v>30</v>
      </c>
      <c r="B56" s="245">
        <f>B41</f>
        <v>830883.83999999997</v>
      </c>
      <c r="C56" s="246">
        <f t="shared" si="7"/>
        <v>0.22231473758489717</v>
      </c>
      <c r="D56" s="37"/>
      <c r="E56" s="37"/>
      <c r="F56" s="37"/>
      <c r="G56" s="37"/>
      <c r="H56" s="37"/>
      <c r="I56" s="37"/>
      <c r="J56" s="37"/>
    </row>
    <row r="57" spans="1:12">
      <c r="A57" s="37"/>
      <c r="B57" s="102">
        <f>SUM(B52:B56)</f>
        <v>3737421.32</v>
      </c>
      <c r="C57" s="246">
        <f t="shared" si="7"/>
        <v>1</v>
      </c>
      <c r="D57" s="37"/>
      <c r="E57" s="37"/>
      <c r="F57" s="37"/>
      <c r="G57" s="37"/>
      <c r="H57" s="37"/>
      <c r="I57" s="37"/>
      <c r="J57" s="37"/>
    </row>
    <row r="58" spans="1:12">
      <c r="A58" s="247" t="s">
        <v>262</v>
      </c>
      <c r="B58" s="102">
        <v>9000</v>
      </c>
      <c r="C58" s="246"/>
      <c r="D58" s="37"/>
      <c r="E58" s="37"/>
      <c r="F58" s="102">
        <v>1200</v>
      </c>
      <c r="G58" s="102">
        <v>4700</v>
      </c>
      <c r="H58" s="102">
        <v>800</v>
      </c>
      <c r="I58" s="37">
        <v>500</v>
      </c>
      <c r="J58" s="102">
        <v>1800</v>
      </c>
      <c r="K58" s="77"/>
      <c r="L58" s="77"/>
    </row>
    <row r="59" spans="1:12">
      <c r="A59" s="247" t="s">
        <v>283</v>
      </c>
      <c r="B59" s="102"/>
      <c r="C59" s="246"/>
      <c r="D59" s="37"/>
      <c r="E59" s="37"/>
      <c r="F59" s="248">
        <f>F58/B58</f>
        <v>0.13333333333333333</v>
      </c>
      <c r="G59" s="248">
        <f>G58/B58</f>
        <v>0.52222222222222225</v>
      </c>
      <c r="H59" s="248">
        <f>H58/B58</f>
        <v>8.8888888888888892E-2</v>
      </c>
      <c r="I59" s="248">
        <f>I58/B58</f>
        <v>5.5555555555555552E-2</v>
      </c>
      <c r="J59" s="248">
        <f>J58/B58</f>
        <v>0.2</v>
      </c>
    </row>
    <row r="60" spans="1:12" ht="15.75">
      <c r="A60" s="92" t="s">
        <v>44</v>
      </c>
      <c r="B60" s="77"/>
      <c r="C60" s="78"/>
    </row>
    <row r="62" spans="1:12">
      <c r="A62" s="37"/>
      <c r="B62" s="2" t="s">
        <v>10</v>
      </c>
      <c r="C62" s="3" t="s">
        <v>11</v>
      </c>
    </row>
    <row r="63" spans="1:12" ht="24.75">
      <c r="A63" s="14" t="s">
        <v>26</v>
      </c>
      <c r="B63" s="79">
        <f>SUM(B64:B68)</f>
        <v>3737421.32</v>
      </c>
      <c r="C63" s="79">
        <f>SUM(C64:C68)</f>
        <v>4597028.2236000001</v>
      </c>
    </row>
    <row r="64" spans="1:12">
      <c r="A64" s="20" t="s">
        <v>27</v>
      </c>
      <c r="B64" s="79">
        <v>575262.39</v>
      </c>
      <c r="C64" s="79">
        <f>B64+B64*0.23</f>
        <v>707572.73970000003</v>
      </c>
    </row>
    <row r="65" spans="1:19">
      <c r="A65" s="20" t="s">
        <v>28</v>
      </c>
      <c r="B65" s="79">
        <f>B38+C38</f>
        <v>1963109.4200000002</v>
      </c>
      <c r="C65" s="79">
        <f t="shared" ref="C65:C68" si="8">B65+B65*0.23</f>
        <v>2414624.5866</v>
      </c>
    </row>
    <row r="66" spans="1:19">
      <c r="A66" s="20" t="s">
        <v>29</v>
      </c>
      <c r="B66" s="79">
        <v>368165.67</v>
      </c>
      <c r="C66" s="79">
        <f t="shared" si="8"/>
        <v>452843.77409999998</v>
      </c>
    </row>
    <row r="67" spans="1:19" hidden="1">
      <c r="A67" s="20"/>
      <c r="B67" s="79"/>
      <c r="C67" s="79"/>
    </row>
    <row r="68" spans="1:19">
      <c r="A68" s="21" t="s">
        <v>30</v>
      </c>
      <c r="B68" s="79">
        <v>830883.83999999997</v>
      </c>
      <c r="C68" s="79">
        <f t="shared" si="8"/>
        <v>1021987.1232</v>
      </c>
    </row>
    <row r="72" spans="1:19">
      <c r="A72" s="374" t="s">
        <v>334</v>
      </c>
      <c r="B72" s="375"/>
      <c r="C72" s="376"/>
      <c r="D72" s="377"/>
      <c r="E72" s="377"/>
      <c r="F72" s="377"/>
      <c r="G72" s="377"/>
      <c r="H72" s="377"/>
      <c r="I72" s="377"/>
      <c r="J72" s="377"/>
      <c r="K72" s="377"/>
      <c r="L72" s="377"/>
      <c r="M72" s="377"/>
      <c r="N72" s="377"/>
      <c r="O72" s="377"/>
      <c r="P72" s="377"/>
      <c r="Q72" s="377"/>
      <c r="R72" s="377"/>
    </row>
    <row r="73" spans="1:19">
      <c r="A73" s="378"/>
      <c r="B73" s="375"/>
      <c r="C73" s="376"/>
      <c r="D73" s="377"/>
      <c r="E73" s="377"/>
      <c r="F73" s="377"/>
      <c r="G73" s="377"/>
      <c r="H73" s="377"/>
      <c r="I73" s="377"/>
      <c r="J73" s="377"/>
      <c r="K73" s="377"/>
      <c r="L73" s="377"/>
      <c r="M73" s="377"/>
      <c r="N73" s="377"/>
      <c r="O73" s="377"/>
      <c r="P73" s="377"/>
      <c r="Q73" s="377"/>
      <c r="R73" s="377"/>
    </row>
    <row r="74" spans="1:19" ht="26.25">
      <c r="A74" s="379" t="s">
        <v>335</v>
      </c>
      <c r="B74" s="380" t="s">
        <v>336</v>
      </c>
      <c r="C74" s="381">
        <f>'ZUK Gizycko'!G20</f>
        <v>2014</v>
      </c>
      <c r="D74" s="381">
        <f>'ZUK Gizycko'!H20</f>
        <v>2015</v>
      </c>
      <c r="E74" s="381">
        <f>'ZUK Gizycko'!I20</f>
        <v>2016</v>
      </c>
      <c r="F74" s="381">
        <f>'ZUK Gizycko'!J20</f>
        <v>2017</v>
      </c>
      <c r="G74" s="381">
        <f>'ZUK Gizycko'!K20</f>
        <v>2018</v>
      </c>
      <c r="H74" s="381">
        <f>'ZUK Gizycko'!L20</f>
        <v>2019</v>
      </c>
      <c r="I74" s="381">
        <f>'ZUK Gizycko'!M20</f>
        <v>2020</v>
      </c>
      <c r="J74" s="381">
        <f>'ZUK Gizycko'!N20</f>
        <v>2021</v>
      </c>
      <c r="K74" s="381">
        <f>'ZUK Gizycko'!O20</f>
        <v>2022</v>
      </c>
      <c r="L74" s="381">
        <f>'ZUK Gizycko'!P20</f>
        <v>2023</v>
      </c>
      <c r="M74" s="381">
        <f>'ZUK Gizycko'!Q20</f>
        <v>2024</v>
      </c>
      <c r="N74" s="381">
        <f>'ZUK Gizycko'!R20</f>
        <v>2025</v>
      </c>
      <c r="O74" s="381">
        <f>'ZUK Gizycko'!S20</f>
        <v>2026</v>
      </c>
      <c r="P74" s="381">
        <f>'ZUK Gizycko'!T20</f>
        <v>2027</v>
      </c>
      <c r="Q74" s="381">
        <f>'ZUK Gizycko'!U20</f>
        <v>2028</v>
      </c>
      <c r="R74" s="381">
        <f>'ZUK Gizycko'!V20</f>
        <v>2029</v>
      </c>
      <c r="S74" s="381">
        <f>'ZUK Gizycko'!W20</f>
        <v>2030</v>
      </c>
    </row>
    <row r="75" spans="1:19">
      <c r="A75" s="382" t="s">
        <v>337</v>
      </c>
      <c r="B75" s="383">
        <f>NPV(0.05,D75:S75)</f>
        <v>0</v>
      </c>
      <c r="C75" s="384">
        <v>0</v>
      </c>
      <c r="D75" s="384">
        <v>0</v>
      </c>
      <c r="E75" s="384">
        <v>0</v>
      </c>
      <c r="F75" s="384">
        <v>0</v>
      </c>
      <c r="G75" s="384">
        <v>0</v>
      </c>
      <c r="H75" s="384">
        <v>0</v>
      </c>
      <c r="I75" s="384">
        <v>0</v>
      </c>
      <c r="J75" s="384">
        <v>0</v>
      </c>
      <c r="K75" s="384">
        <v>0</v>
      </c>
      <c r="L75" s="384">
        <v>0</v>
      </c>
      <c r="M75" s="384">
        <v>0</v>
      </c>
      <c r="N75" s="384">
        <v>0</v>
      </c>
      <c r="O75" s="384">
        <v>0</v>
      </c>
      <c r="P75" s="384">
        <v>0</v>
      </c>
      <c r="Q75" s="384">
        <v>0</v>
      </c>
      <c r="R75" s="384">
        <v>0</v>
      </c>
      <c r="S75" s="384">
        <v>0</v>
      </c>
    </row>
    <row r="76" spans="1:19">
      <c r="A76" s="382" t="s">
        <v>338</v>
      </c>
      <c r="B76" s="383">
        <f>NPV(0.05,D76:S76)</f>
        <v>192885.67959294032</v>
      </c>
      <c r="C76" s="384">
        <v>0</v>
      </c>
      <c r="D76" s="384">
        <v>0</v>
      </c>
      <c r="E76" s="396">
        <f>'ZUK Gizycko'!I182+'MEC Mrągowo'!I153+'ZUK Orzysz'!I153+'ZUK Węgorzewo'!I153</f>
        <v>19512.2</v>
      </c>
      <c r="F76" s="396">
        <f>'ZUK Gizycko'!J182+'MEC Mrągowo'!J153+'ZUK Orzysz'!J153+'ZUK Węgorzewo'!J153</f>
        <v>19512.2</v>
      </c>
      <c r="G76" s="396">
        <f>'ZUK Gizycko'!K182+'MEC Mrągowo'!K153+'ZUK Orzysz'!K153+'ZUK Węgorzewo'!K153</f>
        <v>19512.2</v>
      </c>
      <c r="H76" s="396">
        <f>'ZUK Gizycko'!L182+'MEC Mrągowo'!L153+'ZUK Orzysz'!L153+'ZUK Węgorzewo'!L153</f>
        <v>19512.2</v>
      </c>
      <c r="I76" s="396">
        <f>'ZUK Gizycko'!M182+'MEC Mrągowo'!M153+'ZUK Orzysz'!M153+'ZUK Węgorzewo'!M153</f>
        <v>19512.2</v>
      </c>
      <c r="J76" s="396">
        <f>'ZUK Gizycko'!N182+'MEC Mrągowo'!N153+'ZUK Orzysz'!N153+'ZUK Węgorzewo'!N153</f>
        <v>19512.2</v>
      </c>
      <c r="K76" s="396">
        <f>'ZUK Gizycko'!O182+'MEC Mrągowo'!O153+'ZUK Orzysz'!O153+'ZUK Węgorzewo'!O153</f>
        <v>19512.2</v>
      </c>
      <c r="L76" s="396">
        <f>'ZUK Gizycko'!P182+'MEC Mrągowo'!P153+'ZUK Orzysz'!P153+'ZUK Węgorzewo'!P153</f>
        <v>19512.2</v>
      </c>
      <c r="M76" s="396">
        <f>'ZUK Gizycko'!Q182+'MEC Mrągowo'!Q153+'ZUK Orzysz'!Q153+'ZUK Węgorzewo'!Q153</f>
        <v>19512.2</v>
      </c>
      <c r="N76" s="396">
        <f>'ZUK Gizycko'!R182+'MEC Mrągowo'!R153+'ZUK Orzysz'!R153+'ZUK Węgorzewo'!R153</f>
        <v>19512.2</v>
      </c>
      <c r="O76" s="396">
        <f>'ZUK Gizycko'!S182+'MEC Mrągowo'!S153+'ZUK Orzysz'!S153+'ZUK Węgorzewo'!S153</f>
        <v>19512.2</v>
      </c>
      <c r="P76" s="396">
        <f>'ZUK Gizycko'!T182+'MEC Mrągowo'!T153+'ZUK Orzysz'!T153+'ZUK Węgorzewo'!T153</f>
        <v>19512.2</v>
      </c>
      <c r="Q76" s="396">
        <f>'ZUK Gizycko'!U182+'MEC Mrągowo'!U153+'ZUK Orzysz'!U153+'ZUK Węgorzewo'!U153</f>
        <v>19512.2</v>
      </c>
      <c r="R76" s="396">
        <f>'ZUK Gizycko'!V182+'MEC Mrągowo'!V153+'ZUK Orzysz'!V153+'ZUK Węgorzewo'!V153</f>
        <v>19512.2</v>
      </c>
      <c r="S76" s="396">
        <f>'ZUK Gizycko'!W182+'MEC Mrągowo'!W153+'ZUK Orzysz'!W153+'ZUK Węgorzewo'!W153</f>
        <v>19512.2</v>
      </c>
    </row>
    <row r="77" spans="1:19">
      <c r="A77" s="382" t="s">
        <v>339</v>
      </c>
      <c r="B77" s="383">
        <f>NPV(0.05,D77:S77)</f>
        <v>0</v>
      </c>
      <c r="C77" s="384">
        <v>0</v>
      </c>
      <c r="D77" s="386">
        <v>0</v>
      </c>
      <c r="E77" s="386">
        <v>0</v>
      </c>
      <c r="F77" s="386">
        <v>0</v>
      </c>
      <c r="G77" s="386">
        <v>0</v>
      </c>
      <c r="H77" s="386">
        <v>0</v>
      </c>
      <c r="I77" s="386">
        <v>0</v>
      </c>
      <c r="J77" s="386">
        <v>0</v>
      </c>
      <c r="K77" s="386">
        <v>0</v>
      </c>
      <c r="L77" s="386">
        <v>0</v>
      </c>
      <c r="M77" s="386">
        <v>0</v>
      </c>
      <c r="N77" s="386">
        <v>0</v>
      </c>
      <c r="O77" s="386">
        <v>0</v>
      </c>
      <c r="P77" s="386">
        <v>0</v>
      </c>
      <c r="Q77" s="386">
        <v>0</v>
      </c>
      <c r="R77" s="385">
        <v>0</v>
      </c>
      <c r="S77" s="385">
        <v>0</v>
      </c>
    </row>
    <row r="78" spans="1:19">
      <c r="A78" s="382" t="s">
        <v>340</v>
      </c>
      <c r="B78" s="383">
        <f>NPV(0.05,D78:S78)</f>
        <v>3820878.0666666664</v>
      </c>
      <c r="C78" s="384">
        <v>0</v>
      </c>
      <c r="D78" s="384">
        <f>B48</f>
        <v>4011921.9699999997</v>
      </c>
      <c r="E78" s="385">
        <v>0</v>
      </c>
      <c r="F78" s="385">
        <v>0</v>
      </c>
      <c r="G78" s="385">
        <v>0</v>
      </c>
      <c r="H78" s="385">
        <v>0</v>
      </c>
      <c r="I78" s="385">
        <v>0</v>
      </c>
      <c r="J78" s="385">
        <v>0</v>
      </c>
      <c r="K78" s="385">
        <v>0</v>
      </c>
      <c r="L78" s="385">
        <v>0</v>
      </c>
      <c r="M78" s="385">
        <v>0</v>
      </c>
      <c r="N78" s="385">
        <v>0</v>
      </c>
      <c r="O78" s="385">
        <v>0</v>
      </c>
      <c r="P78" s="385">
        <v>0</v>
      </c>
      <c r="Q78" s="385">
        <v>0</v>
      </c>
      <c r="R78" s="385">
        <v>0</v>
      </c>
      <c r="S78" s="385">
        <v>0</v>
      </c>
    </row>
    <row r="79" spans="1:19">
      <c r="A79" s="382" t="s">
        <v>341</v>
      </c>
      <c r="B79" s="383">
        <f>NPV(0.05,D79:S79)</f>
        <v>3896582.2095238091</v>
      </c>
      <c r="C79" s="384">
        <v>0</v>
      </c>
      <c r="D79" s="384">
        <f>B48+C48</f>
        <v>4091411.32</v>
      </c>
      <c r="E79" s="384">
        <v>0</v>
      </c>
      <c r="F79" s="384">
        <v>0</v>
      </c>
      <c r="G79" s="385">
        <v>0</v>
      </c>
      <c r="H79" s="385">
        <v>0</v>
      </c>
      <c r="I79" s="385">
        <v>0</v>
      </c>
      <c r="J79" s="385">
        <v>0</v>
      </c>
      <c r="K79" s="385">
        <v>0</v>
      </c>
      <c r="L79" s="385">
        <v>0</v>
      </c>
      <c r="M79" s="385">
        <v>0</v>
      </c>
      <c r="N79" s="385">
        <v>0</v>
      </c>
      <c r="O79" s="385">
        <v>0</v>
      </c>
      <c r="P79" s="385">
        <v>0</v>
      </c>
      <c r="Q79" s="385">
        <v>0</v>
      </c>
      <c r="R79" s="385">
        <v>0</v>
      </c>
      <c r="S79" s="385">
        <v>0</v>
      </c>
    </row>
    <row r="80" spans="1:19">
      <c r="A80" s="387"/>
      <c r="B80" s="387"/>
      <c r="C80" s="387"/>
      <c r="D80" s="387"/>
      <c r="E80" s="377"/>
      <c r="F80" s="377"/>
      <c r="G80" s="377"/>
      <c r="H80" s="377"/>
      <c r="I80" s="377"/>
      <c r="J80" s="377"/>
      <c r="K80" s="377"/>
      <c r="L80" s="377"/>
      <c r="M80" s="377"/>
      <c r="N80" s="377"/>
      <c r="O80" s="377"/>
      <c r="P80" s="377"/>
      <c r="Q80" s="377"/>
      <c r="R80" s="377"/>
    </row>
    <row r="81" spans="1:18" ht="38.25">
      <c r="A81" s="423" t="s">
        <v>342</v>
      </c>
      <c r="B81" s="424"/>
      <c r="C81" s="388" t="s">
        <v>343</v>
      </c>
      <c r="D81" s="388" t="s">
        <v>336</v>
      </c>
      <c r="E81" s="377"/>
      <c r="F81" s="377"/>
      <c r="G81" s="377"/>
      <c r="H81" s="377"/>
      <c r="I81" s="377"/>
      <c r="J81" s="377"/>
      <c r="K81" s="377"/>
      <c r="L81" s="377"/>
      <c r="M81" s="377"/>
      <c r="N81" s="377"/>
      <c r="O81" s="377"/>
      <c r="P81" s="377"/>
      <c r="Q81" s="377"/>
      <c r="R81" s="377"/>
    </row>
    <row r="82" spans="1:18">
      <c r="A82" s="389" t="s">
        <v>344</v>
      </c>
      <c r="B82" s="384">
        <v>15</v>
      </c>
      <c r="C82" s="390"/>
      <c r="D82" s="390"/>
      <c r="E82" s="377"/>
      <c r="F82" s="377"/>
      <c r="G82" s="377"/>
      <c r="H82" s="377"/>
      <c r="I82" s="377"/>
      <c r="J82" s="377"/>
      <c r="K82" s="377"/>
      <c r="L82" s="377"/>
      <c r="M82" s="377"/>
      <c r="N82" s="377"/>
      <c r="O82" s="377"/>
      <c r="P82" s="377"/>
      <c r="Q82" s="377"/>
      <c r="R82" s="377"/>
    </row>
    <row r="83" spans="1:18">
      <c r="A83" s="389" t="s">
        <v>345</v>
      </c>
      <c r="B83" s="391">
        <v>0.05</v>
      </c>
      <c r="C83" s="390"/>
      <c r="D83" s="390"/>
      <c r="E83" s="377"/>
      <c r="F83" s="377"/>
      <c r="G83" s="377"/>
      <c r="H83" s="377"/>
      <c r="I83" s="377"/>
      <c r="J83" s="377"/>
      <c r="K83" s="377"/>
      <c r="L83" s="377"/>
      <c r="M83" s="377"/>
      <c r="N83" s="377"/>
      <c r="O83" s="377"/>
      <c r="P83" s="377"/>
      <c r="Q83" s="377"/>
      <c r="R83" s="377"/>
    </row>
    <row r="84" spans="1:18">
      <c r="A84" s="425" t="s">
        <v>346</v>
      </c>
      <c r="B84" s="425"/>
      <c r="C84" s="384">
        <f>D79</f>
        <v>4091411.32</v>
      </c>
      <c r="D84" s="390"/>
      <c r="E84" s="377"/>
      <c r="F84" s="377"/>
      <c r="G84" s="377"/>
      <c r="H84" s="377"/>
      <c r="I84" s="377"/>
      <c r="J84" s="377"/>
      <c r="K84" s="377"/>
      <c r="L84" s="377"/>
      <c r="M84" s="377"/>
      <c r="N84" s="377"/>
      <c r="O84" s="377"/>
      <c r="P84" s="377"/>
      <c r="Q84" s="377"/>
      <c r="R84" s="377"/>
    </row>
    <row r="85" spans="1:18">
      <c r="A85" s="425" t="s">
        <v>347</v>
      </c>
      <c r="B85" s="425"/>
      <c r="C85" s="390"/>
      <c r="D85" s="383">
        <f>B79</f>
        <v>3896582.2095238091</v>
      </c>
      <c r="E85" s="377"/>
      <c r="F85" s="377"/>
      <c r="G85" s="377"/>
      <c r="H85" s="377"/>
      <c r="I85" s="377"/>
      <c r="J85" s="377"/>
      <c r="K85" s="377"/>
      <c r="L85" s="377"/>
      <c r="M85" s="377"/>
      <c r="N85" s="377"/>
      <c r="O85" s="377"/>
      <c r="P85" s="377"/>
      <c r="Q85" s="377"/>
      <c r="R85" s="377"/>
    </row>
    <row r="86" spans="1:18">
      <c r="A86" s="425" t="s">
        <v>348</v>
      </c>
      <c r="B86" s="425"/>
      <c r="C86" s="389"/>
      <c r="D86" s="390"/>
      <c r="E86" s="377"/>
      <c r="F86" s="377"/>
      <c r="G86" s="377"/>
      <c r="H86" s="377"/>
      <c r="I86" s="377"/>
      <c r="J86" s="377"/>
      <c r="K86" s="377"/>
      <c r="L86" s="377"/>
      <c r="M86" s="377"/>
      <c r="N86" s="377"/>
      <c r="O86" s="377"/>
      <c r="P86" s="377"/>
      <c r="Q86" s="377"/>
      <c r="R86" s="377"/>
    </row>
    <row r="87" spans="1:18">
      <c r="A87" s="425" t="s">
        <v>349</v>
      </c>
      <c r="B87" s="425"/>
      <c r="C87" s="390"/>
      <c r="D87" s="383">
        <f>B77</f>
        <v>0</v>
      </c>
      <c r="E87" s="377"/>
      <c r="F87" s="377"/>
      <c r="G87" s="377"/>
      <c r="H87" s="377"/>
      <c r="I87" s="377"/>
      <c r="J87" s="377"/>
      <c r="K87" s="377"/>
      <c r="L87" s="377"/>
      <c r="M87" s="377"/>
      <c r="N87" s="377"/>
      <c r="O87" s="377"/>
      <c r="P87" s="377"/>
      <c r="Q87" s="377"/>
      <c r="R87" s="377"/>
    </row>
    <row r="88" spans="1:18">
      <c r="A88" s="425" t="s">
        <v>350</v>
      </c>
      <c r="B88" s="425"/>
      <c r="C88" s="390"/>
      <c r="D88" s="383">
        <f>B75</f>
        <v>0</v>
      </c>
    </row>
    <row r="89" spans="1:18">
      <c r="A89" s="425" t="s">
        <v>351</v>
      </c>
      <c r="B89" s="425"/>
      <c r="C89" s="390"/>
      <c r="D89" s="383">
        <f>B76</f>
        <v>192885.67959294032</v>
      </c>
    </row>
    <row r="90" spans="1:18">
      <c r="A90" s="425" t="s">
        <v>352</v>
      </c>
      <c r="B90" s="425"/>
      <c r="C90" s="390"/>
      <c r="D90" s="383">
        <f>D88-D89+D87</f>
        <v>-192885.67959294032</v>
      </c>
    </row>
    <row r="91" spans="1:18">
      <c r="A91" s="425" t="s">
        <v>353</v>
      </c>
      <c r="B91" s="425"/>
      <c r="C91" s="390"/>
      <c r="D91" s="383">
        <f>D85-D90</f>
        <v>4089467.8891167496</v>
      </c>
    </row>
    <row r="92" spans="1:18">
      <c r="A92" s="392" t="s">
        <v>354</v>
      </c>
      <c r="B92" s="391">
        <v>1</v>
      </c>
      <c r="C92" s="390"/>
      <c r="D92" s="390"/>
    </row>
    <row r="93" spans="1:18">
      <c r="A93" s="425" t="s">
        <v>355</v>
      </c>
      <c r="B93" s="425"/>
      <c r="C93" s="384">
        <f>D78</f>
        <v>4011921.9699999997</v>
      </c>
      <c r="D93" s="390"/>
    </row>
    <row r="94" spans="1:18">
      <c r="A94" s="426" t="s">
        <v>356</v>
      </c>
      <c r="B94" s="427"/>
      <c r="C94" s="384">
        <f>B92*C93</f>
        <v>4011921.9699999997</v>
      </c>
      <c r="D94" s="390"/>
    </row>
    <row r="95" spans="1:18">
      <c r="A95" s="393" t="s">
        <v>357</v>
      </c>
      <c r="B95" s="391">
        <v>0.85</v>
      </c>
      <c r="C95" s="390"/>
      <c r="D95" s="390"/>
    </row>
    <row r="96" spans="1:18">
      <c r="A96" s="428" t="s">
        <v>358</v>
      </c>
      <c r="B96" s="428"/>
      <c r="C96" s="384">
        <f>C94*B95-0.02</f>
        <v>3410133.6544999997</v>
      </c>
      <c r="D96" s="390"/>
    </row>
    <row r="97" spans="1:21">
      <c r="A97" s="394" t="s">
        <v>359</v>
      </c>
      <c r="B97" s="395">
        <f>C96/C93</f>
        <v>0.84999999501485812</v>
      </c>
      <c r="C97" s="390"/>
      <c r="D97" s="390"/>
    </row>
    <row r="101" spans="1:21">
      <c r="A101" s="397"/>
      <c r="B101" s="398"/>
      <c r="C101" s="399"/>
      <c r="D101" s="400"/>
      <c r="E101" s="398"/>
      <c r="F101" s="398"/>
      <c r="G101" s="398"/>
      <c r="H101" s="398"/>
      <c r="I101" s="398"/>
      <c r="J101" s="398"/>
      <c r="K101" s="398"/>
      <c r="L101" s="398"/>
      <c r="M101" s="398"/>
      <c r="N101" s="398"/>
      <c r="O101" s="398"/>
      <c r="P101" s="398"/>
      <c r="Q101" s="398"/>
      <c r="R101" s="398"/>
      <c r="S101" s="398"/>
      <c r="T101" s="398"/>
      <c r="U101" s="398"/>
    </row>
    <row r="102" spans="1:21">
      <c r="A102" s="401"/>
      <c r="B102" s="400"/>
      <c r="C102" s="400"/>
      <c r="D102" s="402"/>
      <c r="E102" s="398"/>
      <c r="F102" s="398"/>
      <c r="G102" s="398"/>
      <c r="H102" s="398"/>
      <c r="I102" s="398"/>
      <c r="J102" s="398"/>
      <c r="K102" s="398"/>
      <c r="L102" s="398"/>
      <c r="M102" s="398"/>
      <c r="N102" s="398"/>
      <c r="O102" s="398"/>
      <c r="P102" s="398"/>
      <c r="Q102" s="398"/>
      <c r="R102" s="398"/>
      <c r="S102" s="398"/>
      <c r="T102" s="398"/>
      <c r="U102" s="398"/>
    </row>
    <row r="103" spans="1:21">
      <c r="A103" s="403"/>
      <c r="B103" s="397"/>
      <c r="C103" s="400"/>
      <c r="D103" s="402"/>
      <c r="E103" s="398"/>
      <c r="F103" s="398"/>
      <c r="G103" s="398"/>
      <c r="H103" s="398"/>
      <c r="I103" s="398"/>
      <c r="J103" s="398"/>
      <c r="K103" s="398"/>
      <c r="L103" s="398"/>
      <c r="M103" s="398"/>
      <c r="N103" s="398"/>
      <c r="O103" s="398"/>
      <c r="P103" s="398"/>
      <c r="Q103" s="398"/>
      <c r="R103" s="398"/>
      <c r="S103" s="398"/>
      <c r="T103" s="398"/>
      <c r="U103" s="398"/>
    </row>
    <row r="104" spans="1:21">
      <c r="A104" s="398"/>
      <c r="B104" s="398"/>
      <c r="C104" s="398"/>
      <c r="D104" s="398"/>
      <c r="E104" s="398"/>
      <c r="F104" s="398"/>
      <c r="G104" s="398"/>
      <c r="H104" s="398"/>
      <c r="I104" s="398"/>
      <c r="J104" s="398"/>
      <c r="K104" s="398"/>
      <c r="L104" s="398"/>
      <c r="M104" s="398"/>
      <c r="N104" s="398"/>
      <c r="O104" s="398"/>
      <c r="P104" s="398"/>
      <c r="Q104" s="398"/>
      <c r="R104" s="398"/>
      <c r="S104" s="398"/>
      <c r="T104" s="398"/>
      <c r="U104" s="398"/>
    </row>
    <row r="105" spans="1:21">
      <c r="A105" s="404"/>
      <c r="B105" s="405"/>
      <c r="C105" s="405"/>
      <c r="D105" s="406"/>
      <c r="E105" s="406"/>
      <c r="F105" s="406"/>
      <c r="G105" s="406"/>
      <c r="H105" s="406"/>
      <c r="I105" s="406"/>
      <c r="J105" s="406"/>
      <c r="K105" s="406"/>
      <c r="L105" s="406"/>
      <c r="M105" s="406"/>
      <c r="N105" s="406"/>
      <c r="O105" s="406"/>
      <c r="P105" s="406"/>
      <c r="Q105" s="406"/>
      <c r="R105" s="406"/>
      <c r="S105" s="406"/>
      <c r="T105" s="406"/>
      <c r="U105" s="398"/>
    </row>
    <row r="106" spans="1:21">
      <c r="A106" s="407"/>
      <c r="B106" s="408"/>
      <c r="C106" s="409"/>
      <c r="D106" s="410"/>
      <c r="E106" s="410"/>
      <c r="F106" s="410"/>
      <c r="G106" s="410"/>
      <c r="H106" s="410"/>
      <c r="I106" s="410"/>
      <c r="J106" s="410"/>
      <c r="K106" s="410"/>
      <c r="L106" s="410"/>
      <c r="M106" s="410"/>
      <c r="N106" s="410"/>
      <c r="O106" s="410"/>
      <c r="P106" s="410"/>
      <c r="Q106" s="410"/>
      <c r="R106" s="410"/>
      <c r="S106" s="410"/>
      <c r="T106" s="410"/>
      <c r="U106" s="398"/>
    </row>
    <row r="107" spans="1:21">
      <c r="A107" s="411"/>
      <c r="B107" s="408"/>
      <c r="C107" s="409"/>
      <c r="D107" s="412"/>
      <c r="E107" s="412"/>
      <c r="F107" s="412"/>
      <c r="G107" s="412"/>
      <c r="H107" s="412"/>
      <c r="I107" s="412"/>
      <c r="J107" s="412"/>
      <c r="K107" s="412"/>
      <c r="L107" s="412"/>
      <c r="M107" s="412"/>
      <c r="N107" s="412"/>
      <c r="O107" s="412"/>
      <c r="P107" s="412"/>
      <c r="Q107" s="412"/>
      <c r="R107" s="412"/>
      <c r="S107" s="412"/>
      <c r="T107" s="412"/>
      <c r="U107" s="398"/>
    </row>
    <row r="108" spans="1:21">
      <c r="A108" s="411"/>
      <c r="B108" s="408"/>
      <c r="C108" s="409"/>
      <c r="D108" s="412"/>
      <c r="E108" s="412"/>
      <c r="F108" s="412"/>
      <c r="G108" s="412"/>
      <c r="H108" s="412"/>
      <c r="I108" s="412"/>
      <c r="J108" s="412"/>
      <c r="K108" s="412"/>
      <c r="L108" s="412"/>
      <c r="M108" s="412"/>
      <c r="N108" s="412"/>
      <c r="O108" s="412"/>
      <c r="P108" s="412"/>
      <c r="Q108" s="412"/>
      <c r="R108" s="412"/>
      <c r="S108" s="412"/>
      <c r="T108" s="412"/>
      <c r="U108" s="398"/>
    </row>
    <row r="109" spans="1:21">
      <c r="A109" s="411"/>
      <c r="B109" s="408"/>
      <c r="C109" s="409"/>
      <c r="D109" s="412"/>
      <c r="E109" s="412"/>
      <c r="F109" s="412"/>
      <c r="G109" s="412"/>
      <c r="H109" s="412"/>
      <c r="I109" s="412"/>
      <c r="J109" s="412"/>
      <c r="K109" s="412"/>
      <c r="L109" s="412"/>
      <c r="M109" s="412"/>
      <c r="N109" s="412"/>
      <c r="O109" s="412"/>
      <c r="P109" s="412"/>
      <c r="Q109" s="412"/>
      <c r="R109" s="412"/>
      <c r="S109" s="412"/>
      <c r="T109" s="412"/>
      <c r="U109" s="398"/>
    </row>
    <row r="110" spans="1:21">
      <c r="A110" s="407"/>
      <c r="B110" s="408"/>
      <c r="C110" s="409"/>
      <c r="D110" s="410"/>
      <c r="E110" s="410"/>
      <c r="F110" s="410"/>
      <c r="G110" s="410"/>
      <c r="H110" s="410"/>
      <c r="I110" s="410"/>
      <c r="J110" s="410"/>
      <c r="K110" s="410"/>
      <c r="L110" s="410"/>
      <c r="M110" s="410"/>
      <c r="N110" s="410"/>
      <c r="O110" s="410"/>
      <c r="P110" s="410"/>
      <c r="Q110" s="410"/>
      <c r="R110" s="410"/>
      <c r="S110" s="410"/>
      <c r="T110" s="410"/>
      <c r="U110" s="398"/>
    </row>
    <row r="111" spans="1:21">
      <c r="A111" s="411"/>
      <c r="B111" s="408"/>
      <c r="C111" s="409"/>
      <c r="D111" s="412"/>
      <c r="E111" s="412"/>
      <c r="F111" s="412"/>
      <c r="G111" s="412"/>
      <c r="H111" s="412"/>
      <c r="I111" s="412"/>
      <c r="J111" s="412"/>
      <c r="K111" s="412"/>
      <c r="L111" s="412"/>
      <c r="M111" s="412"/>
      <c r="N111" s="412"/>
      <c r="O111" s="412"/>
      <c r="P111" s="412"/>
      <c r="Q111" s="412"/>
      <c r="R111" s="412"/>
      <c r="S111" s="412"/>
      <c r="T111" s="412"/>
      <c r="U111" s="398"/>
    </row>
    <row r="112" spans="1:21">
      <c r="A112" s="411"/>
      <c r="B112" s="408"/>
      <c r="C112" s="409"/>
      <c r="D112" s="412"/>
      <c r="E112" s="412"/>
      <c r="F112" s="412"/>
      <c r="G112" s="412"/>
      <c r="H112" s="412"/>
      <c r="I112" s="412"/>
      <c r="J112" s="412"/>
      <c r="K112" s="412"/>
      <c r="L112" s="412"/>
      <c r="M112" s="412"/>
      <c r="N112" s="412"/>
      <c r="O112" s="412"/>
      <c r="P112" s="412"/>
      <c r="Q112" s="412"/>
      <c r="R112" s="412"/>
      <c r="S112" s="412"/>
      <c r="T112" s="412"/>
      <c r="U112" s="398"/>
    </row>
    <row r="113" spans="1:21">
      <c r="A113" s="411"/>
      <c r="B113" s="408"/>
      <c r="C113" s="409"/>
      <c r="D113" s="412"/>
      <c r="E113" s="412"/>
      <c r="F113" s="412"/>
      <c r="G113" s="412"/>
      <c r="H113" s="412"/>
      <c r="I113" s="412"/>
      <c r="J113" s="412"/>
      <c r="K113" s="412"/>
      <c r="L113" s="412"/>
      <c r="M113" s="412"/>
      <c r="N113" s="412"/>
      <c r="O113" s="412"/>
      <c r="P113" s="412"/>
      <c r="Q113" s="412"/>
      <c r="R113" s="412"/>
      <c r="S113" s="412"/>
      <c r="T113" s="412"/>
      <c r="U113" s="398"/>
    </row>
    <row r="114" spans="1:21">
      <c r="A114" s="404"/>
      <c r="B114" s="408"/>
      <c r="C114" s="409"/>
      <c r="D114" s="410"/>
      <c r="E114" s="410"/>
      <c r="F114" s="410"/>
      <c r="G114" s="410"/>
      <c r="H114" s="410"/>
      <c r="I114" s="410"/>
      <c r="J114" s="410"/>
      <c r="K114" s="410"/>
      <c r="L114" s="410"/>
      <c r="M114" s="410"/>
      <c r="N114" s="410"/>
      <c r="O114" s="410"/>
      <c r="P114" s="410"/>
      <c r="Q114" s="410"/>
      <c r="R114" s="410"/>
      <c r="S114" s="410"/>
      <c r="T114" s="413"/>
      <c r="U114" s="398"/>
    </row>
    <row r="115" spans="1:21">
      <c r="A115" s="404"/>
      <c r="B115" s="408"/>
      <c r="C115" s="414"/>
      <c r="D115" s="412"/>
      <c r="E115" s="412"/>
      <c r="F115" s="412"/>
      <c r="G115" s="412"/>
      <c r="H115" s="412"/>
      <c r="I115" s="412"/>
      <c r="J115" s="412"/>
      <c r="K115" s="412"/>
      <c r="L115" s="412"/>
      <c r="M115" s="412"/>
      <c r="N115" s="415"/>
      <c r="O115" s="415"/>
      <c r="P115" s="415"/>
      <c r="Q115" s="415"/>
      <c r="R115" s="415"/>
      <c r="S115" s="415"/>
      <c r="T115" s="413"/>
      <c r="U115" s="398"/>
    </row>
    <row r="116" spans="1:21">
      <c r="A116" s="404"/>
      <c r="B116" s="416"/>
      <c r="C116" s="417"/>
      <c r="D116" s="412"/>
      <c r="E116" s="412"/>
      <c r="F116" s="412"/>
      <c r="G116" s="412"/>
      <c r="H116" s="412"/>
      <c r="I116" s="412"/>
      <c r="J116" s="412"/>
      <c r="K116" s="412"/>
      <c r="L116" s="412"/>
      <c r="M116" s="412"/>
      <c r="N116" s="415"/>
      <c r="O116" s="415"/>
      <c r="P116" s="415"/>
      <c r="Q116" s="415"/>
      <c r="R116" s="415"/>
      <c r="S116" s="415"/>
      <c r="T116" s="413"/>
      <c r="U116" s="398"/>
    </row>
    <row r="117" spans="1:21">
      <c r="A117" s="398"/>
      <c r="B117" s="398"/>
      <c r="C117" s="398"/>
      <c r="D117" s="398"/>
      <c r="E117" s="398"/>
      <c r="F117" s="398"/>
      <c r="G117" s="398"/>
      <c r="H117" s="398"/>
      <c r="I117" s="398"/>
      <c r="J117" s="398"/>
      <c r="K117" s="398"/>
      <c r="L117" s="398"/>
      <c r="M117" s="398"/>
      <c r="N117" s="398"/>
      <c r="O117" s="398"/>
      <c r="P117" s="398"/>
      <c r="Q117" s="398"/>
      <c r="R117" s="398"/>
      <c r="S117" s="398"/>
      <c r="T117" s="398"/>
      <c r="U117" s="398"/>
    </row>
    <row r="118" spans="1:21">
      <c r="A118" s="398"/>
      <c r="B118" s="398"/>
      <c r="C118" s="398"/>
      <c r="D118" s="398"/>
      <c r="E118" s="398"/>
      <c r="F118" s="398"/>
      <c r="G118" s="398"/>
      <c r="H118" s="398"/>
      <c r="I118" s="398"/>
      <c r="J118" s="398"/>
      <c r="K118" s="398"/>
      <c r="L118" s="398"/>
      <c r="M118" s="398"/>
      <c r="N118" s="398"/>
      <c r="O118" s="398"/>
      <c r="P118" s="398"/>
      <c r="Q118" s="398"/>
      <c r="R118" s="398"/>
      <c r="S118" s="398"/>
      <c r="T118" s="398"/>
      <c r="U118" s="398"/>
    </row>
    <row r="119" spans="1:21">
      <c r="A119" s="398"/>
      <c r="B119" s="398"/>
      <c r="C119" s="398"/>
      <c r="D119" s="398"/>
      <c r="E119" s="398"/>
      <c r="F119" s="398"/>
      <c r="G119" s="398"/>
      <c r="H119" s="398"/>
      <c r="I119" s="398"/>
      <c r="J119" s="398"/>
      <c r="K119" s="398"/>
      <c r="L119" s="398"/>
      <c r="M119" s="398"/>
      <c r="N119" s="398"/>
      <c r="O119" s="398"/>
      <c r="P119" s="398"/>
      <c r="Q119" s="398"/>
      <c r="R119" s="398"/>
      <c r="S119" s="398"/>
      <c r="T119" s="398"/>
      <c r="U119" s="398"/>
    </row>
    <row r="120" spans="1:21">
      <c r="A120" s="398"/>
      <c r="B120" s="398"/>
      <c r="C120" s="398"/>
      <c r="D120" s="398"/>
      <c r="E120" s="398"/>
      <c r="F120" s="398"/>
      <c r="G120" s="398"/>
      <c r="H120" s="398"/>
      <c r="I120" s="398"/>
      <c r="J120" s="398"/>
      <c r="K120" s="398"/>
      <c r="L120" s="398"/>
      <c r="M120" s="398"/>
      <c r="N120" s="398"/>
      <c r="O120" s="398"/>
      <c r="P120" s="398"/>
      <c r="Q120" s="398"/>
      <c r="R120" s="398"/>
      <c r="S120" s="398"/>
      <c r="T120" s="398"/>
      <c r="U120" s="398"/>
    </row>
  </sheetData>
  <mergeCells count="14">
    <mergeCell ref="A91:B91"/>
    <mergeCell ref="A93:B93"/>
    <mergeCell ref="A94:B94"/>
    <mergeCell ref="A96:B96"/>
    <mergeCell ref="A86:B86"/>
    <mergeCell ref="A87:B87"/>
    <mergeCell ref="A88:B88"/>
    <mergeCell ref="A89:B89"/>
    <mergeCell ref="A90:B90"/>
    <mergeCell ref="A9:F9"/>
    <mergeCell ref="E22:K22"/>
    <mergeCell ref="A81:B81"/>
    <mergeCell ref="A84:B84"/>
    <mergeCell ref="A85:B8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19"/>
  <sheetViews>
    <sheetView zoomScale="60" zoomScaleNormal="60" workbookViewId="0">
      <selection activeCell="C42" sqref="C42"/>
    </sheetView>
  </sheetViews>
  <sheetFormatPr defaultRowHeight="15"/>
  <cols>
    <col min="2" max="2" width="4.28515625" customWidth="1"/>
    <col min="3" max="3" width="55.85546875" customWidth="1"/>
    <col min="4" max="4" width="12.7109375" customWidth="1"/>
    <col min="5" max="5" width="13" customWidth="1"/>
    <col min="6" max="6" width="5.7109375" customWidth="1"/>
    <col min="7" max="7" width="4.85546875" customWidth="1"/>
    <col min="8" max="9" width="5.85546875" customWidth="1"/>
    <col min="10" max="10" width="6.42578125" customWidth="1"/>
    <col min="11" max="11" width="6.140625" customWidth="1"/>
    <col min="12" max="12" width="5.85546875" customWidth="1"/>
    <col min="13" max="13" width="6.42578125" customWidth="1"/>
    <col min="14" max="14" width="6.140625" customWidth="1"/>
    <col min="15" max="15" width="6.7109375" customWidth="1"/>
    <col min="16" max="17" width="5.7109375" customWidth="1"/>
    <col min="18" max="18" width="5.28515625" customWidth="1"/>
    <col min="19" max="19" width="4.85546875" customWidth="1"/>
    <col min="20" max="20" width="5.85546875" customWidth="1"/>
    <col min="21" max="21" width="5.28515625" customWidth="1"/>
    <col min="22" max="22" width="5.42578125" customWidth="1"/>
    <col min="23" max="23" width="6.28515625" customWidth="1"/>
    <col min="24" max="24" width="5.28515625" customWidth="1"/>
    <col min="25" max="25" width="6.140625" customWidth="1"/>
    <col min="26" max="26" width="5.7109375" customWidth="1"/>
    <col min="27" max="27" width="6.28515625" customWidth="1"/>
    <col min="28" max="28" width="5.28515625" customWidth="1"/>
    <col min="29" max="29" width="5" customWidth="1"/>
    <col min="30" max="30" width="6" customWidth="1"/>
    <col min="31" max="31" width="5.42578125" customWidth="1"/>
    <col min="32" max="32" width="5" customWidth="1"/>
    <col min="33" max="33" width="6" customWidth="1"/>
    <col min="34" max="34" width="5.85546875" customWidth="1"/>
    <col min="35" max="35" width="5.28515625" customWidth="1"/>
    <col min="36" max="37" width="4.85546875" customWidth="1"/>
    <col min="38" max="38" width="5.28515625" customWidth="1"/>
    <col min="39" max="40" width="5.85546875" customWidth="1"/>
    <col min="41" max="41" width="4.7109375" customWidth="1"/>
  </cols>
  <sheetData>
    <row r="1" spans="2:41">
      <c r="C1" s="17" t="s">
        <v>360</v>
      </c>
    </row>
    <row r="2" spans="2:41" ht="15.75" thickBot="1">
      <c r="C2" s="63" t="s">
        <v>21</v>
      </c>
    </row>
    <row r="3" spans="2:41" ht="15.75" customHeight="1" thickBot="1">
      <c r="B3" s="25" t="s">
        <v>12</v>
      </c>
      <c r="C3" s="26"/>
      <c r="D3" s="432" t="s">
        <v>13</v>
      </c>
      <c r="E3" s="434" t="s">
        <v>14</v>
      </c>
      <c r="F3" s="436" t="s">
        <v>15</v>
      </c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7"/>
    </row>
    <row r="4" spans="2:41" ht="15.75" thickBot="1">
      <c r="B4" s="27"/>
      <c r="C4" s="28"/>
      <c r="D4" s="433"/>
      <c r="E4" s="435"/>
      <c r="F4" s="430">
        <v>2013</v>
      </c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1"/>
      <c r="R4" s="429">
        <v>2014</v>
      </c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1"/>
      <c r="AD4" s="429">
        <v>2015</v>
      </c>
      <c r="AE4" s="430"/>
      <c r="AF4" s="430"/>
      <c r="AG4" s="430"/>
      <c r="AH4" s="430"/>
      <c r="AI4" s="430"/>
      <c r="AJ4" s="430"/>
      <c r="AK4" s="430"/>
      <c r="AL4" s="430"/>
      <c r="AM4" s="430"/>
      <c r="AN4" s="430"/>
      <c r="AO4" s="431"/>
    </row>
    <row r="5" spans="2:41" ht="15.75" thickBot="1">
      <c r="B5" s="27"/>
      <c r="C5" s="28"/>
      <c r="D5" s="433"/>
      <c r="E5" s="435"/>
      <c r="F5" s="357">
        <v>1</v>
      </c>
      <c r="G5" s="350">
        <v>2</v>
      </c>
      <c r="H5" s="350">
        <v>3</v>
      </c>
      <c r="I5" s="350">
        <v>4</v>
      </c>
      <c r="J5" s="350">
        <v>5</v>
      </c>
      <c r="K5" s="350">
        <v>6</v>
      </c>
      <c r="L5" s="350">
        <v>7</v>
      </c>
      <c r="M5" s="350">
        <v>8</v>
      </c>
      <c r="N5" s="350">
        <v>9</v>
      </c>
      <c r="O5" s="350">
        <v>10</v>
      </c>
      <c r="P5" s="350">
        <v>11</v>
      </c>
      <c r="Q5" s="352">
        <v>12</v>
      </c>
      <c r="R5" s="349">
        <v>1</v>
      </c>
      <c r="S5" s="350">
        <v>2</v>
      </c>
      <c r="T5" s="350">
        <v>3</v>
      </c>
      <c r="U5" s="350">
        <v>4</v>
      </c>
      <c r="V5" s="350">
        <v>5</v>
      </c>
      <c r="W5" s="350">
        <v>6</v>
      </c>
      <c r="X5" s="350">
        <v>7</v>
      </c>
      <c r="Y5" s="350">
        <v>8</v>
      </c>
      <c r="Z5" s="350">
        <v>9</v>
      </c>
      <c r="AA5" s="350">
        <v>10</v>
      </c>
      <c r="AB5" s="350">
        <v>11</v>
      </c>
      <c r="AC5" s="352">
        <v>12</v>
      </c>
      <c r="AD5" s="349">
        <v>1</v>
      </c>
      <c r="AE5" s="350">
        <v>2</v>
      </c>
      <c r="AF5" s="350">
        <v>3</v>
      </c>
      <c r="AG5" s="350">
        <v>4</v>
      </c>
      <c r="AH5" s="350">
        <v>5</v>
      </c>
      <c r="AI5" s="350">
        <v>6</v>
      </c>
      <c r="AJ5" s="350">
        <v>7</v>
      </c>
      <c r="AK5" s="350">
        <v>8</v>
      </c>
      <c r="AL5" s="350">
        <v>9</v>
      </c>
      <c r="AM5" s="350">
        <v>10</v>
      </c>
      <c r="AN5" s="351">
        <v>11</v>
      </c>
      <c r="AO5" s="348">
        <v>12</v>
      </c>
    </row>
    <row r="6" spans="2:41" ht="15.75" thickBot="1">
      <c r="B6" s="360">
        <v>1</v>
      </c>
      <c r="C6" s="361" t="s">
        <v>299</v>
      </c>
      <c r="D6" s="362" t="s">
        <v>304</v>
      </c>
      <c r="E6" s="356" t="s">
        <v>305</v>
      </c>
      <c r="F6" s="355"/>
      <c r="G6" s="342"/>
      <c r="H6" s="342"/>
      <c r="I6" s="366"/>
      <c r="J6" s="366"/>
      <c r="K6" s="366"/>
      <c r="L6" s="366"/>
      <c r="M6" s="366"/>
      <c r="N6" s="366"/>
      <c r="O6" s="363"/>
      <c r="P6" s="363"/>
      <c r="Q6" s="364"/>
      <c r="R6" s="365"/>
      <c r="S6" s="363"/>
      <c r="T6" s="363"/>
      <c r="U6" s="363"/>
      <c r="V6" s="363"/>
      <c r="W6" s="342"/>
      <c r="X6" s="342"/>
      <c r="Y6" s="342"/>
      <c r="Z6" s="342"/>
      <c r="AA6" s="342"/>
      <c r="AB6" s="342"/>
      <c r="AC6" s="343"/>
      <c r="AD6" s="341"/>
      <c r="AE6" s="342"/>
      <c r="AF6" s="342"/>
      <c r="AG6" s="342"/>
      <c r="AH6" s="342"/>
      <c r="AI6" s="342"/>
      <c r="AJ6" s="342"/>
      <c r="AK6" s="342"/>
      <c r="AL6" s="342"/>
      <c r="AM6" s="342"/>
      <c r="AN6" s="344"/>
      <c r="AO6" s="348"/>
    </row>
    <row r="7" spans="2:41">
      <c r="B7" s="353">
        <v>2</v>
      </c>
      <c r="C7" s="354" t="s">
        <v>16</v>
      </c>
      <c r="D7" s="57" t="s">
        <v>35</v>
      </c>
      <c r="E7" s="64" t="s">
        <v>36</v>
      </c>
      <c r="F7" s="358"/>
      <c r="G7" s="46"/>
      <c r="H7" s="46"/>
      <c r="I7" s="46"/>
      <c r="J7" s="46"/>
      <c r="K7" s="46"/>
      <c r="L7" s="46"/>
      <c r="M7" s="46"/>
      <c r="N7" s="46"/>
      <c r="O7" s="46"/>
      <c r="P7" s="46"/>
      <c r="Q7" s="47"/>
      <c r="R7" s="42"/>
      <c r="S7" s="43"/>
      <c r="T7" s="43"/>
      <c r="U7" s="43"/>
      <c r="V7" s="43"/>
      <c r="W7" s="43"/>
      <c r="X7" s="43"/>
      <c r="Y7" s="43"/>
      <c r="Z7" s="43"/>
      <c r="AA7" s="44"/>
      <c r="AB7" s="44"/>
      <c r="AC7" s="45"/>
      <c r="AD7" s="42"/>
      <c r="AE7" s="43"/>
      <c r="AF7" s="43"/>
      <c r="AG7" s="46"/>
      <c r="AH7" s="46"/>
      <c r="AI7" s="46"/>
      <c r="AJ7" s="46"/>
      <c r="AK7" s="46"/>
      <c r="AL7" s="46"/>
      <c r="AM7" s="46"/>
      <c r="AN7" s="46"/>
      <c r="AO7" s="47"/>
    </row>
    <row r="8" spans="2:41">
      <c r="B8" s="33">
        <v>3</v>
      </c>
      <c r="C8" s="32" t="s">
        <v>17</v>
      </c>
      <c r="D8" s="57" t="s">
        <v>35</v>
      </c>
      <c r="E8" s="64" t="s">
        <v>36</v>
      </c>
      <c r="F8" s="359"/>
      <c r="G8" s="29"/>
      <c r="H8" s="29"/>
      <c r="I8" s="29"/>
      <c r="J8" s="29"/>
      <c r="K8" s="29"/>
      <c r="L8" s="29"/>
      <c r="M8" s="29"/>
      <c r="N8" s="29"/>
      <c r="O8" s="29"/>
      <c r="P8" s="29"/>
      <c r="Q8" s="30"/>
      <c r="R8" s="22"/>
      <c r="S8" s="23"/>
      <c r="T8" s="23"/>
      <c r="U8" s="23"/>
      <c r="V8" s="23"/>
      <c r="W8" s="23"/>
      <c r="X8" s="23"/>
      <c r="Y8" s="23"/>
      <c r="Z8" s="23"/>
      <c r="AA8" s="38"/>
      <c r="AB8" s="38"/>
      <c r="AC8" s="24"/>
      <c r="AD8" s="22"/>
      <c r="AE8" s="23"/>
      <c r="AF8" s="23"/>
      <c r="AG8" s="29"/>
      <c r="AH8" s="29"/>
      <c r="AI8" s="29"/>
      <c r="AJ8" s="29"/>
      <c r="AK8" s="29"/>
      <c r="AL8" s="29"/>
      <c r="AM8" s="29"/>
      <c r="AN8" s="29"/>
      <c r="AO8" s="30"/>
    </row>
    <row r="9" spans="2:41">
      <c r="B9" s="33">
        <v>4</v>
      </c>
      <c r="C9" s="32" t="s">
        <v>18</v>
      </c>
      <c r="D9" s="58" t="s">
        <v>332</v>
      </c>
      <c r="E9" s="65" t="s">
        <v>333</v>
      </c>
      <c r="F9" s="359"/>
      <c r="G9" s="29"/>
      <c r="H9" s="29"/>
      <c r="I9" s="29"/>
      <c r="J9" s="29"/>
      <c r="K9" s="29"/>
      <c r="L9" s="29"/>
      <c r="M9" s="29"/>
      <c r="N9" s="29"/>
      <c r="O9" s="29"/>
      <c r="P9" s="29"/>
      <c r="Q9" s="30"/>
      <c r="R9" s="31"/>
      <c r="S9" s="29"/>
      <c r="T9" s="29"/>
      <c r="U9" s="29"/>
      <c r="V9" s="38"/>
      <c r="W9" s="38"/>
      <c r="X9" s="38"/>
      <c r="Y9" s="38"/>
      <c r="Z9" s="38"/>
      <c r="AA9" s="38"/>
      <c r="AB9" s="38"/>
      <c r="AC9" s="30"/>
      <c r="AD9" s="31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30"/>
    </row>
    <row r="10" spans="2:41">
      <c r="B10" s="33">
        <v>5</v>
      </c>
      <c r="C10" s="32" t="s">
        <v>19</v>
      </c>
      <c r="D10" s="58" t="s">
        <v>39</v>
      </c>
      <c r="E10" s="65" t="s">
        <v>40</v>
      </c>
      <c r="F10" s="35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30"/>
      <c r="R10" s="31"/>
      <c r="S10" s="29"/>
      <c r="T10" s="29"/>
      <c r="U10" s="29"/>
      <c r="V10" s="29"/>
      <c r="W10" s="29"/>
      <c r="X10" s="29"/>
      <c r="Y10" s="29"/>
      <c r="Z10" s="29"/>
      <c r="AA10" s="29"/>
      <c r="AB10" s="38"/>
      <c r="AC10" s="39"/>
      <c r="AD10" s="31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30"/>
    </row>
    <row r="11" spans="2:41">
      <c r="B11" s="33">
        <v>6</v>
      </c>
      <c r="C11" s="34" t="s">
        <v>20</v>
      </c>
      <c r="D11" s="58" t="s">
        <v>266</v>
      </c>
      <c r="E11" s="65" t="s">
        <v>267</v>
      </c>
      <c r="F11" s="35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30"/>
      <c r="R11" s="31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30"/>
      <c r="AD11" s="40"/>
      <c r="AE11" s="38"/>
      <c r="AF11" s="38"/>
      <c r="AG11" s="38"/>
      <c r="AH11" s="38"/>
      <c r="AI11" s="38"/>
      <c r="AJ11" s="29"/>
      <c r="AK11" s="29"/>
      <c r="AL11" s="29"/>
      <c r="AM11" s="29"/>
      <c r="AN11" s="29"/>
      <c r="AO11" s="30"/>
    </row>
    <row r="12" spans="2:41" ht="15.75" thickBot="1">
      <c r="B12" s="66">
        <v>7</v>
      </c>
      <c r="C12" s="67" t="s">
        <v>263</v>
      </c>
      <c r="D12" s="68" t="s">
        <v>268</v>
      </c>
      <c r="E12" s="69" t="s">
        <v>269</v>
      </c>
      <c r="F12" s="62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8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56"/>
      <c r="AF12" s="56"/>
      <c r="AG12" s="56"/>
      <c r="AH12" s="56"/>
      <c r="AI12" s="56"/>
      <c r="AJ12" s="56"/>
      <c r="AK12" s="56"/>
      <c r="AL12" s="56"/>
      <c r="AM12" s="249"/>
      <c r="AN12" s="249"/>
      <c r="AO12" s="250"/>
    </row>
    <row r="13" spans="2:41" ht="15.75" thickBot="1">
      <c r="B13" s="75">
        <v>8</v>
      </c>
      <c r="C13" s="345" t="s">
        <v>264</v>
      </c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6"/>
      <c r="AL13" s="346"/>
      <c r="AM13" s="346"/>
      <c r="AN13" s="346"/>
      <c r="AO13" s="347"/>
    </row>
    <row r="14" spans="2:41" ht="15.75" thickBot="1">
      <c r="B14" s="51" t="s">
        <v>300</v>
      </c>
      <c r="C14" s="70" t="s">
        <v>31</v>
      </c>
      <c r="D14" s="71" t="s">
        <v>268</v>
      </c>
      <c r="E14" s="72" t="s">
        <v>253</v>
      </c>
      <c r="F14" s="51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3"/>
      <c r="R14" s="51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3"/>
      <c r="AD14" s="60"/>
      <c r="AE14" s="59"/>
      <c r="AF14" s="59"/>
      <c r="AG14" s="59"/>
      <c r="AH14" s="59"/>
      <c r="AI14" s="59"/>
      <c r="AJ14" s="59"/>
      <c r="AK14" s="52"/>
      <c r="AL14" s="52"/>
      <c r="AM14" s="52"/>
      <c r="AN14" s="52"/>
      <c r="AO14" s="53"/>
    </row>
    <row r="15" spans="2:41" ht="15.75" thickBot="1">
      <c r="B15" s="54" t="s">
        <v>301</v>
      </c>
      <c r="C15" s="35" t="s">
        <v>32</v>
      </c>
      <c r="D15" s="71" t="s">
        <v>268</v>
      </c>
      <c r="E15" s="72" t="s">
        <v>267</v>
      </c>
      <c r="F15" s="54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55"/>
      <c r="R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55"/>
      <c r="AD15" s="61"/>
      <c r="AE15" s="41"/>
      <c r="AF15" s="41"/>
      <c r="AG15" s="41"/>
      <c r="AH15" s="41"/>
      <c r="AI15" s="41"/>
      <c r="AJ15" s="251"/>
      <c r="AK15" s="251"/>
      <c r="AL15" s="251"/>
      <c r="AM15" s="251"/>
      <c r="AN15" s="251"/>
      <c r="AO15" s="252"/>
    </row>
    <row r="16" spans="2:41" ht="15.75" thickBot="1">
      <c r="B16" s="54" t="s">
        <v>302</v>
      </c>
      <c r="C16" s="35" t="s">
        <v>33</v>
      </c>
      <c r="D16" s="71" t="s">
        <v>268</v>
      </c>
      <c r="E16" s="72" t="s">
        <v>269</v>
      </c>
      <c r="F16" s="54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55"/>
      <c r="R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55"/>
      <c r="AD16" s="61"/>
      <c r="AE16" s="41"/>
      <c r="AF16" s="41"/>
      <c r="AG16" s="41"/>
      <c r="AH16" s="41"/>
      <c r="AI16" s="41"/>
      <c r="AJ16" s="41"/>
      <c r="AK16" s="41"/>
      <c r="AL16" s="41"/>
      <c r="AM16" s="251"/>
      <c r="AN16" s="251"/>
      <c r="AO16" s="252"/>
    </row>
    <row r="17" spans="2:41">
      <c r="B17" s="54" t="s">
        <v>303</v>
      </c>
      <c r="C17" s="36" t="s">
        <v>34</v>
      </c>
      <c r="D17" s="71" t="s">
        <v>268</v>
      </c>
      <c r="E17" s="72" t="s">
        <v>269</v>
      </c>
      <c r="F17" s="54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55"/>
      <c r="R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55"/>
      <c r="AD17" s="61"/>
      <c r="AE17" s="41"/>
      <c r="AF17" s="41"/>
      <c r="AG17" s="41"/>
      <c r="AH17" s="41"/>
      <c r="AI17" s="41"/>
      <c r="AJ17" s="41"/>
      <c r="AK17" s="41"/>
      <c r="AL17" s="41"/>
      <c r="AM17" s="37"/>
      <c r="AN17" s="37"/>
      <c r="AO17" s="55"/>
    </row>
    <row r="18" spans="2:41">
      <c r="B18" s="261">
        <v>9</v>
      </c>
      <c r="C18" s="260" t="s">
        <v>265</v>
      </c>
      <c r="D18" s="254" t="s">
        <v>260</v>
      </c>
      <c r="E18" s="255" t="s">
        <v>38</v>
      </c>
      <c r="F18" s="253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256"/>
      <c r="R18" s="253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256"/>
      <c r="AD18" s="257"/>
      <c r="AE18" s="259"/>
      <c r="AF18" s="259"/>
      <c r="AG18" s="259"/>
      <c r="AH18" s="259"/>
      <c r="AI18" s="259"/>
      <c r="AJ18" s="258"/>
      <c r="AK18" s="258"/>
      <c r="AL18" s="258"/>
      <c r="AM18" s="182"/>
      <c r="AN18" s="182"/>
      <c r="AO18" s="256"/>
    </row>
    <row r="19" spans="2:41" ht="15.75" thickBot="1">
      <c r="B19" s="262">
        <v>10</v>
      </c>
      <c r="C19" s="73" t="s">
        <v>37</v>
      </c>
      <c r="D19" s="74" t="s">
        <v>270</v>
      </c>
      <c r="E19" s="69" t="s">
        <v>257</v>
      </c>
      <c r="F19" s="48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50"/>
      <c r="R19" s="48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  <c r="AD19" s="62"/>
      <c r="AE19" s="249"/>
      <c r="AF19" s="249"/>
      <c r="AG19" s="249"/>
      <c r="AH19" s="249"/>
      <c r="AI19" s="56"/>
      <c r="AJ19" s="56"/>
      <c r="AK19" s="56"/>
      <c r="AL19" s="56"/>
      <c r="AM19" s="249"/>
      <c r="AN19" s="249"/>
      <c r="AO19" s="250"/>
    </row>
  </sheetData>
  <mergeCells count="6">
    <mergeCell ref="AD4:AO4"/>
    <mergeCell ref="D3:D5"/>
    <mergeCell ref="E3:E5"/>
    <mergeCell ref="F4:Q4"/>
    <mergeCell ref="R4:AC4"/>
    <mergeCell ref="F3:AO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3"/>
  <sheetViews>
    <sheetView topLeftCell="A170" zoomScale="80" zoomScaleNormal="80" workbookViewId="0">
      <selection activeCell="I20" sqref="I20:W20"/>
    </sheetView>
  </sheetViews>
  <sheetFormatPr defaultRowHeight="15"/>
  <cols>
    <col min="2" max="2" width="62.140625" customWidth="1"/>
    <col min="3" max="3" width="14.140625" customWidth="1"/>
    <col min="4" max="4" width="14.7109375" customWidth="1"/>
    <col min="5" max="5" width="14.5703125" customWidth="1"/>
    <col min="6" max="6" width="13.85546875" customWidth="1"/>
    <col min="7" max="7" width="17.5703125" customWidth="1"/>
    <col min="8" max="8" width="15.5703125" customWidth="1"/>
    <col min="9" max="9" width="18" customWidth="1"/>
    <col min="10" max="10" width="15.85546875" customWidth="1"/>
    <col min="11" max="11" width="15.5703125" customWidth="1"/>
    <col min="12" max="12" width="19.85546875" customWidth="1"/>
    <col min="13" max="14" width="18.28515625" customWidth="1"/>
    <col min="15" max="15" width="16" customWidth="1"/>
    <col min="16" max="16" width="16.140625" customWidth="1"/>
    <col min="17" max="17" width="15.85546875" customWidth="1"/>
    <col min="18" max="18" width="16.140625" customWidth="1"/>
    <col min="19" max="19" width="17.28515625" customWidth="1"/>
    <col min="20" max="20" width="16" customWidth="1"/>
    <col min="21" max="21" width="15.28515625" customWidth="1"/>
    <col min="22" max="22" width="16.7109375" customWidth="1"/>
    <col min="23" max="23" width="18.5703125" customWidth="1"/>
  </cols>
  <sheetData>
    <row r="1" spans="2:15">
      <c r="B1" s="17" t="s">
        <v>41</v>
      </c>
    </row>
    <row r="3" spans="2:15" ht="15.75" customHeight="1">
      <c r="B3" s="17" t="s">
        <v>232</v>
      </c>
      <c r="L3" s="103"/>
      <c r="M3" s="103"/>
    </row>
    <row r="4" spans="2:15" ht="32.25" customHeight="1">
      <c r="B4" s="37"/>
      <c r="C4" s="444">
        <v>2014</v>
      </c>
      <c r="D4" s="444"/>
      <c r="E4" s="444"/>
      <c r="F4" s="444">
        <v>2015</v>
      </c>
      <c r="G4" s="444"/>
      <c r="H4" s="444"/>
      <c r="I4" s="444" t="s">
        <v>7</v>
      </c>
      <c r="J4" s="444"/>
      <c r="K4" s="444"/>
      <c r="L4" s="445" t="s">
        <v>311</v>
      </c>
      <c r="M4" s="445"/>
      <c r="N4" s="105" t="s">
        <v>53</v>
      </c>
    </row>
    <row r="5" spans="2:15" ht="36.75">
      <c r="B5" s="37"/>
      <c r="C5" s="8" t="s">
        <v>6</v>
      </c>
      <c r="D5" s="8" t="s">
        <v>47</v>
      </c>
      <c r="E5" s="8" t="s">
        <v>48</v>
      </c>
      <c r="F5" s="8" t="s">
        <v>6</v>
      </c>
      <c r="G5" s="8" t="s">
        <v>47</v>
      </c>
      <c r="H5" s="8" t="s">
        <v>48</v>
      </c>
      <c r="I5" s="105" t="s">
        <v>310</v>
      </c>
      <c r="J5" s="8" t="s">
        <v>47</v>
      </c>
      <c r="K5" s="8" t="s">
        <v>48</v>
      </c>
      <c r="L5" s="105" t="s">
        <v>50</v>
      </c>
      <c r="M5" s="105" t="s">
        <v>51</v>
      </c>
      <c r="N5" s="105" t="s">
        <v>51</v>
      </c>
    </row>
    <row r="6" spans="2:15">
      <c r="B6" s="272" t="s">
        <v>309</v>
      </c>
      <c r="C6" s="281">
        <v>5000</v>
      </c>
      <c r="D6" s="281">
        <f>C6*0.23</f>
        <v>1150</v>
      </c>
      <c r="E6" s="98">
        <f t="shared" ref="E6:E7" si="0">C6+D6</f>
        <v>6150</v>
      </c>
      <c r="F6" s="235"/>
      <c r="G6" s="235"/>
      <c r="H6" s="235"/>
      <c r="I6" s="367">
        <f>C6</f>
        <v>5000</v>
      </c>
      <c r="J6" s="367">
        <f t="shared" ref="J6:K6" si="1">D6</f>
        <v>1150</v>
      </c>
      <c r="K6" s="367">
        <f t="shared" si="1"/>
        <v>6150</v>
      </c>
      <c r="L6" s="236">
        <v>0</v>
      </c>
      <c r="M6" s="367">
        <f>C6</f>
        <v>5000</v>
      </c>
      <c r="N6" s="367">
        <f>D6</f>
        <v>1150</v>
      </c>
    </row>
    <row r="7" spans="2:15">
      <c r="B7" s="272" t="s">
        <v>281</v>
      </c>
      <c r="C7" s="281">
        <v>1200</v>
      </c>
      <c r="D7" s="281">
        <f>C7*0.23</f>
        <v>276</v>
      </c>
      <c r="E7" s="98">
        <f t="shared" si="0"/>
        <v>1476</v>
      </c>
      <c r="F7" s="235"/>
      <c r="G7" s="235"/>
      <c r="H7" s="235"/>
      <c r="I7" s="367">
        <f>C7</f>
        <v>1200</v>
      </c>
      <c r="J7" s="367">
        <f t="shared" ref="J7" si="2">D7</f>
        <v>276</v>
      </c>
      <c r="K7" s="367">
        <f t="shared" ref="K7" si="3">E7</f>
        <v>1476</v>
      </c>
      <c r="L7" s="236">
        <v>0</v>
      </c>
      <c r="M7" s="367">
        <f>I7</f>
        <v>1200</v>
      </c>
      <c r="N7" s="367">
        <f>J7</f>
        <v>276</v>
      </c>
    </row>
    <row r="8" spans="2:15">
      <c r="B8" s="100" t="s">
        <v>273</v>
      </c>
      <c r="C8" s="98">
        <v>1200</v>
      </c>
      <c r="D8" s="98">
        <f>C8*0.23</f>
        <v>276</v>
      </c>
      <c r="E8" s="98">
        <f>C8+D8</f>
        <v>1476</v>
      </c>
      <c r="F8" s="12">
        <v>0</v>
      </c>
      <c r="G8" s="12">
        <v>0</v>
      </c>
      <c r="H8" s="12">
        <v>0</v>
      </c>
      <c r="I8" s="80">
        <f>C8+F8</f>
        <v>1200</v>
      </c>
      <c r="J8" s="80">
        <f>D8+G8</f>
        <v>276</v>
      </c>
      <c r="K8" s="80">
        <f>E8+H8</f>
        <v>1476</v>
      </c>
      <c r="L8" s="102">
        <f>I8*0.85</f>
        <v>1020</v>
      </c>
      <c r="M8" s="102">
        <f>I8*0.15</f>
        <v>180</v>
      </c>
      <c r="N8" s="102">
        <f>J8</f>
        <v>276</v>
      </c>
    </row>
    <row r="9" spans="2:15">
      <c r="B9" s="264" t="s">
        <v>306</v>
      </c>
      <c r="C9" s="12"/>
      <c r="D9" s="12"/>
      <c r="E9" s="12"/>
      <c r="F9" s="12">
        <f>'zadania i plan płatności'!B30*'zadania i plan płatności'!C52</f>
        <v>7695.9799383816862</v>
      </c>
      <c r="G9" s="12">
        <f>F9*0.23</f>
        <v>1770.0753858277878</v>
      </c>
      <c r="H9" s="12">
        <f>F9+G9</f>
        <v>9466.0553242094738</v>
      </c>
      <c r="I9" s="80">
        <f t="shared" ref="I9:I13" si="4">C9+F9</f>
        <v>7695.9799383816862</v>
      </c>
      <c r="J9" s="80">
        <f t="shared" ref="J9:J13" si="5">D9+G9</f>
        <v>1770.0753858277878</v>
      </c>
      <c r="K9" s="80">
        <f t="shared" ref="K9:K13" si="6">E9+H9</f>
        <v>9466.0553242094738</v>
      </c>
      <c r="L9" s="102">
        <f t="shared" ref="L9:L12" si="7">I9*0.85</f>
        <v>6541.5829476244335</v>
      </c>
      <c r="M9" s="102">
        <f t="shared" ref="M9:M12" si="8">I9*0.15</f>
        <v>1154.396990757253</v>
      </c>
      <c r="N9" s="102">
        <f t="shared" ref="N9:N13" si="9">J9</f>
        <v>1770.0753858277878</v>
      </c>
    </row>
    <row r="10" spans="2:15">
      <c r="B10" s="100" t="s">
        <v>331</v>
      </c>
      <c r="C10" s="12">
        <v>0</v>
      </c>
      <c r="D10" s="12">
        <v>0</v>
      </c>
      <c r="E10" s="12">
        <v>0</v>
      </c>
      <c r="F10" s="12">
        <f>'zadania i plan płatności'!B33*'zadania i plan płatności'!C52</f>
        <v>23087.939815145059</v>
      </c>
      <c r="G10" s="12">
        <f>F10*0.23</f>
        <v>5310.2261574833637</v>
      </c>
      <c r="H10" s="12">
        <f>F10+G10</f>
        <v>28398.165972628423</v>
      </c>
      <c r="I10" s="80">
        <f t="shared" si="4"/>
        <v>23087.939815145059</v>
      </c>
      <c r="J10" s="80">
        <f t="shared" si="5"/>
        <v>5310.2261574833637</v>
      </c>
      <c r="K10" s="80">
        <f t="shared" si="6"/>
        <v>28398.165972628423</v>
      </c>
      <c r="L10" s="102">
        <f t="shared" si="7"/>
        <v>19624.748842873298</v>
      </c>
      <c r="M10" s="102">
        <f t="shared" si="8"/>
        <v>3463.1909722717587</v>
      </c>
      <c r="N10" s="102">
        <f t="shared" si="9"/>
        <v>5310.2261574833637</v>
      </c>
    </row>
    <row r="11" spans="2:15" ht="30" customHeight="1">
      <c r="B11" s="13" t="s">
        <v>274</v>
      </c>
      <c r="C11" s="12"/>
      <c r="D11" s="12"/>
      <c r="E11" s="12"/>
      <c r="F11" s="12">
        <f>'zadania i plan płatności'!B37</f>
        <v>575262.39</v>
      </c>
      <c r="G11" s="12">
        <f>'zadania i plan płatności'!E37</f>
        <v>132310.34970000002</v>
      </c>
      <c r="H11" s="12">
        <f>'zadania i plan płatności'!F37</f>
        <v>707572.73970000003</v>
      </c>
      <c r="I11" s="80">
        <f t="shared" si="4"/>
        <v>575262.39</v>
      </c>
      <c r="J11" s="80">
        <f t="shared" si="5"/>
        <v>132310.34970000002</v>
      </c>
      <c r="K11" s="80">
        <f t="shared" si="6"/>
        <v>707572.73970000003</v>
      </c>
      <c r="L11" s="102">
        <f t="shared" si="7"/>
        <v>488973.03149999998</v>
      </c>
      <c r="M11" s="102">
        <f t="shared" si="8"/>
        <v>86289.358500000002</v>
      </c>
      <c r="N11" s="102">
        <f t="shared" si="9"/>
        <v>132310.34970000002</v>
      </c>
    </row>
    <row r="12" spans="2:15" ht="30" customHeight="1">
      <c r="B12" s="263" t="s">
        <v>307</v>
      </c>
      <c r="C12" s="12"/>
      <c r="D12" s="12"/>
      <c r="E12" s="12"/>
      <c r="F12" s="12">
        <f>'zadania i plan płatności'!B45*'zadania i plan płatności'!C52</f>
        <v>15391.959876763372</v>
      </c>
      <c r="G12" s="12">
        <f>F12*0.23</f>
        <v>3540.1507716555757</v>
      </c>
      <c r="H12" s="12">
        <f>F12+G12</f>
        <v>18932.110648418948</v>
      </c>
      <c r="I12" s="80">
        <f t="shared" ref="I12" si="10">C12+F12</f>
        <v>15391.959876763372</v>
      </c>
      <c r="J12" s="80">
        <f t="shared" ref="J12" si="11">D12+G12</f>
        <v>3540.1507716555757</v>
      </c>
      <c r="K12" s="80">
        <f t="shared" ref="K12" si="12">E12+H12</f>
        <v>18932.110648418948</v>
      </c>
      <c r="L12" s="102">
        <f t="shared" si="7"/>
        <v>13083.165895248867</v>
      </c>
      <c r="M12" s="102">
        <f t="shared" si="8"/>
        <v>2308.793981514506</v>
      </c>
      <c r="N12" s="102">
        <f t="shared" si="9"/>
        <v>3540.1507716555757</v>
      </c>
    </row>
    <row r="13" spans="2:15" ht="24">
      <c r="B13" s="101" t="s">
        <v>308</v>
      </c>
      <c r="C13" s="12"/>
      <c r="D13" s="12"/>
      <c r="E13" s="12"/>
      <c r="F13" s="12">
        <f>'zadania i plan płatności'!B42*'zadania i plan płatności'!C52</f>
        <v>1539.1959876763372</v>
      </c>
      <c r="G13" s="12">
        <f>F13*0.23</f>
        <v>354.01507716555756</v>
      </c>
      <c r="H13" s="12">
        <f>F13+G13</f>
        <v>1893.2110648418948</v>
      </c>
      <c r="I13" s="80">
        <f t="shared" si="4"/>
        <v>1539.1959876763372</v>
      </c>
      <c r="J13" s="80">
        <f t="shared" si="5"/>
        <v>354.01507716555756</v>
      </c>
      <c r="K13" s="80">
        <f t="shared" si="6"/>
        <v>1893.2110648418948</v>
      </c>
      <c r="L13" s="102">
        <f t="shared" ref="L13" si="13">I13*0.85</f>
        <v>1308.3165895248865</v>
      </c>
      <c r="M13" s="102">
        <f t="shared" ref="M13" si="14">I13*0.15</f>
        <v>230.87939815145057</v>
      </c>
      <c r="N13" s="102">
        <f t="shared" si="9"/>
        <v>354.01507716555756</v>
      </c>
    </row>
    <row r="14" spans="2:15">
      <c r="B14" s="99" t="s">
        <v>49</v>
      </c>
      <c r="C14" s="106">
        <f>SUM(C6:C13)</f>
        <v>7400</v>
      </c>
      <c r="D14" s="106">
        <f t="shared" ref="D14:N14" si="15">SUM(D6:D13)</f>
        <v>1702</v>
      </c>
      <c r="E14" s="106">
        <f t="shared" si="15"/>
        <v>9102</v>
      </c>
      <c r="F14" s="106">
        <f t="shared" si="15"/>
        <v>622977.46561796649</v>
      </c>
      <c r="G14" s="106">
        <f t="shared" si="15"/>
        <v>143284.81709213232</v>
      </c>
      <c r="H14" s="106">
        <f t="shared" si="15"/>
        <v>766262.28271009878</v>
      </c>
      <c r="I14" s="106">
        <f t="shared" si="15"/>
        <v>630377.46561796649</v>
      </c>
      <c r="J14" s="106">
        <f t="shared" si="15"/>
        <v>144986.81709213232</v>
      </c>
      <c r="K14" s="106">
        <f t="shared" si="15"/>
        <v>775364.28271009878</v>
      </c>
      <c r="L14" s="106">
        <f t="shared" si="15"/>
        <v>530550.84577527142</v>
      </c>
      <c r="M14" s="106">
        <f t="shared" si="15"/>
        <v>99826.61984269497</v>
      </c>
      <c r="N14" s="106">
        <f t="shared" si="15"/>
        <v>144986.81709213232</v>
      </c>
      <c r="O14" s="96"/>
    </row>
    <row r="15" spans="2:15">
      <c r="L15" s="96"/>
    </row>
    <row r="16" spans="2:15">
      <c r="B16" s="109" t="s">
        <v>124</v>
      </c>
      <c r="M16" s="77"/>
    </row>
    <row r="17" spans="1:23">
      <c r="B17" s="109"/>
      <c r="H17" t="s">
        <v>271</v>
      </c>
      <c r="M17" s="77"/>
    </row>
    <row r="18" spans="1:23">
      <c r="B18" s="109" t="s">
        <v>123</v>
      </c>
      <c r="H18" t="s">
        <v>205</v>
      </c>
    </row>
    <row r="19" spans="1:23">
      <c r="B19" s="108"/>
      <c r="D19" s="441" t="s">
        <v>204</v>
      </c>
      <c r="E19" s="442"/>
      <c r="F19" s="443"/>
      <c r="G19" s="440" t="s">
        <v>203</v>
      </c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440"/>
      <c r="T19" s="440"/>
      <c r="U19" s="440"/>
      <c r="V19" s="440"/>
      <c r="W19" s="440"/>
    </row>
    <row r="20" spans="1:23">
      <c r="A20" s="110" t="s">
        <v>54</v>
      </c>
      <c r="B20" s="110" t="s">
        <v>55</v>
      </c>
      <c r="C20" s="111" t="s">
        <v>56</v>
      </c>
      <c r="D20" s="168">
        <v>2012</v>
      </c>
      <c r="E20" s="169">
        <v>2013</v>
      </c>
      <c r="F20" s="170" t="s">
        <v>125</v>
      </c>
      <c r="G20" s="37">
        <v>2014</v>
      </c>
      <c r="H20" s="164">
        <v>2015</v>
      </c>
      <c r="I20" s="164">
        <v>2016</v>
      </c>
      <c r="J20" s="164">
        <v>2017</v>
      </c>
      <c r="K20" s="164">
        <v>2018</v>
      </c>
      <c r="L20" s="164">
        <v>2019</v>
      </c>
      <c r="M20" s="164">
        <v>2020</v>
      </c>
      <c r="N20" s="164">
        <v>2021</v>
      </c>
      <c r="O20" s="164">
        <v>2022</v>
      </c>
      <c r="P20" s="164">
        <v>2023</v>
      </c>
      <c r="Q20" s="164">
        <v>2024</v>
      </c>
      <c r="R20" s="164">
        <v>2025</v>
      </c>
      <c r="S20" s="164">
        <v>2026</v>
      </c>
      <c r="T20" s="164">
        <v>2027</v>
      </c>
      <c r="U20" s="164">
        <v>2028</v>
      </c>
      <c r="V20" s="164">
        <v>2029</v>
      </c>
      <c r="W20" s="164">
        <v>2030</v>
      </c>
    </row>
    <row r="21" spans="1:23">
      <c r="A21" s="114" t="s">
        <v>57</v>
      </c>
      <c r="B21" s="115" t="s">
        <v>58</v>
      </c>
      <c r="C21" s="116" t="s">
        <v>59</v>
      </c>
      <c r="D21" s="117">
        <f>D23+D24+D25+D26</f>
        <v>4819114.46</v>
      </c>
      <c r="E21" s="118">
        <f>E23+E24+E25+E26</f>
        <v>4457730.8299999991</v>
      </c>
      <c r="F21" s="117">
        <f>F23+F24+F25+F26</f>
        <v>189000</v>
      </c>
      <c r="G21" s="166">
        <f t="shared" ref="G21:H21" si="16">G23+G24+G25+G26</f>
        <v>4680617.3714999994</v>
      </c>
      <c r="H21" s="166">
        <f t="shared" si="16"/>
        <v>4914648.2400749996</v>
      </c>
      <c r="I21" s="166">
        <f t="shared" ref="I21:W21" si="17">I23+I24+I25+I26</f>
        <v>5160380.6520787496</v>
      </c>
      <c r="J21" s="166">
        <f t="shared" si="17"/>
        <v>5418399.6846826868</v>
      </c>
      <c r="K21" s="166">
        <f t="shared" si="17"/>
        <v>5689319.6689168215</v>
      </c>
      <c r="L21" s="166">
        <f t="shared" si="17"/>
        <v>5973785.6523626624</v>
      </c>
      <c r="M21" s="166">
        <f t="shared" si="17"/>
        <v>6272474.9349807948</v>
      </c>
      <c r="N21" s="166">
        <f t="shared" si="17"/>
        <v>6586098.6817298355</v>
      </c>
      <c r="O21" s="166">
        <f t="shared" si="17"/>
        <v>6915403.6158163259</v>
      </c>
      <c r="P21" s="166">
        <f t="shared" si="17"/>
        <v>7261173.7966071432</v>
      </c>
      <c r="Q21" s="166">
        <f t="shared" si="17"/>
        <v>7624232.4864374986</v>
      </c>
      <c r="R21" s="166">
        <f t="shared" si="17"/>
        <v>8005444.1107593738</v>
      </c>
      <c r="S21" s="166">
        <f t="shared" si="17"/>
        <v>8405716.316297343</v>
      </c>
      <c r="T21" s="166">
        <f t="shared" si="17"/>
        <v>8826002.1321122106</v>
      </c>
      <c r="U21" s="166">
        <f t="shared" si="17"/>
        <v>9267302.2387178205</v>
      </c>
      <c r="V21" s="166">
        <f t="shared" si="17"/>
        <v>9730667.3506537117</v>
      </c>
      <c r="W21" s="166">
        <f t="shared" si="17"/>
        <v>10217200.718186399</v>
      </c>
    </row>
    <row r="22" spans="1:23">
      <c r="A22" s="119"/>
      <c r="B22" s="120" t="s">
        <v>60</v>
      </c>
      <c r="C22" s="116" t="s">
        <v>59</v>
      </c>
      <c r="D22" s="121">
        <v>1635934.95</v>
      </c>
      <c r="E22" s="122">
        <v>1568357.01</v>
      </c>
      <c r="F22" s="121">
        <v>0</v>
      </c>
      <c r="G22" s="12">
        <f>E22+E22*0.05</f>
        <v>1646774.8605</v>
      </c>
      <c r="H22" s="12">
        <f>G22+G22*0.05</f>
        <v>1729113.6035249999</v>
      </c>
      <c r="I22" s="12">
        <f t="shared" ref="I22:W22" si="18">H22+H22*0.05</f>
        <v>1815569.2837012499</v>
      </c>
      <c r="J22" s="12">
        <f t="shared" si="18"/>
        <v>1906347.7478863124</v>
      </c>
      <c r="K22" s="12">
        <f t="shared" si="18"/>
        <v>2001665.135280628</v>
      </c>
      <c r="L22" s="12">
        <f t="shared" si="18"/>
        <v>2101748.3920446592</v>
      </c>
      <c r="M22" s="12">
        <f t="shared" si="18"/>
        <v>2206835.8116468922</v>
      </c>
      <c r="N22" s="12">
        <f t="shared" si="18"/>
        <v>2317177.6022292366</v>
      </c>
      <c r="O22" s="12">
        <f t="shared" si="18"/>
        <v>2433036.4823406986</v>
      </c>
      <c r="P22" s="12">
        <f t="shared" si="18"/>
        <v>2554688.3064577337</v>
      </c>
      <c r="Q22" s="12">
        <f t="shared" si="18"/>
        <v>2682422.7217806205</v>
      </c>
      <c r="R22" s="12">
        <f t="shared" si="18"/>
        <v>2816543.8578696516</v>
      </c>
      <c r="S22" s="12">
        <f t="shared" si="18"/>
        <v>2957371.0507631344</v>
      </c>
      <c r="T22" s="12">
        <f t="shared" si="18"/>
        <v>3105239.6033012909</v>
      </c>
      <c r="U22" s="12">
        <f t="shared" si="18"/>
        <v>3260501.5834663552</v>
      </c>
      <c r="V22" s="12">
        <f t="shared" si="18"/>
        <v>3423526.6626396729</v>
      </c>
      <c r="W22" s="12">
        <f t="shared" si="18"/>
        <v>3594702.9957716567</v>
      </c>
    </row>
    <row r="23" spans="1:23">
      <c r="A23" s="119" t="s">
        <v>61</v>
      </c>
      <c r="B23" s="123" t="s">
        <v>62</v>
      </c>
      <c r="C23" s="116" t="s">
        <v>59</v>
      </c>
      <c r="D23" s="121">
        <v>4816755.75</v>
      </c>
      <c r="E23" s="122">
        <v>4417443.5599999996</v>
      </c>
      <c r="F23" s="121">
        <v>174000</v>
      </c>
      <c r="G23" s="12">
        <f t="shared" ref="G23:G26" si="19">E23+E23*0.05</f>
        <v>4638315.7379999999</v>
      </c>
      <c r="H23" s="12">
        <f t="shared" ref="H23:W26" si="20">G23+G23*0.05</f>
        <v>4870231.5248999996</v>
      </c>
      <c r="I23" s="12">
        <f t="shared" si="20"/>
        <v>5113743.1011449993</v>
      </c>
      <c r="J23" s="12">
        <f t="shared" si="20"/>
        <v>5369430.2562022489</v>
      </c>
      <c r="K23" s="12">
        <f t="shared" si="20"/>
        <v>5637901.7690123618</v>
      </c>
      <c r="L23" s="12">
        <f t="shared" si="20"/>
        <v>5919796.8574629799</v>
      </c>
      <c r="M23" s="12">
        <f t="shared" si="20"/>
        <v>6215786.7003361285</v>
      </c>
      <c r="N23" s="12">
        <f t="shared" si="20"/>
        <v>6526576.0353529351</v>
      </c>
      <c r="O23" s="12">
        <f t="shared" si="20"/>
        <v>6852904.8371205814</v>
      </c>
      <c r="P23" s="12">
        <f t="shared" si="20"/>
        <v>7195550.0789766107</v>
      </c>
      <c r="Q23" s="12">
        <f t="shared" si="20"/>
        <v>7555327.5829254407</v>
      </c>
      <c r="R23" s="12">
        <f t="shared" si="20"/>
        <v>7933093.9620717131</v>
      </c>
      <c r="S23" s="12">
        <f t="shared" si="20"/>
        <v>8329748.6601752983</v>
      </c>
      <c r="T23" s="12">
        <f t="shared" si="20"/>
        <v>8746236.0931840632</v>
      </c>
      <c r="U23" s="12">
        <f t="shared" si="20"/>
        <v>9183547.8978432659</v>
      </c>
      <c r="V23" s="12">
        <f t="shared" si="20"/>
        <v>9642725.2927354295</v>
      </c>
      <c r="W23" s="12">
        <f t="shared" si="20"/>
        <v>10124861.557372201</v>
      </c>
    </row>
    <row r="24" spans="1:23" ht="26.25">
      <c r="A24" s="119" t="s">
        <v>63</v>
      </c>
      <c r="B24" s="123" t="s">
        <v>64</v>
      </c>
      <c r="C24" s="116" t="s">
        <v>59</v>
      </c>
      <c r="D24" s="121">
        <v>-101355.74</v>
      </c>
      <c r="E24" s="122">
        <v>-102788.59</v>
      </c>
      <c r="F24" s="121">
        <v>-8000</v>
      </c>
      <c r="G24" s="12">
        <f t="shared" si="19"/>
        <v>-107928.01949999999</v>
      </c>
      <c r="H24" s="12">
        <f t="shared" si="20"/>
        <v>-113324.42047499999</v>
      </c>
      <c r="I24" s="12">
        <f t="shared" si="20"/>
        <v>-118990.64149874999</v>
      </c>
      <c r="J24" s="12">
        <f t="shared" si="20"/>
        <v>-124940.17357368748</v>
      </c>
      <c r="K24" s="12">
        <f t="shared" si="20"/>
        <v>-131187.18225237186</v>
      </c>
      <c r="L24" s="12">
        <f t="shared" si="20"/>
        <v>-137746.54136499047</v>
      </c>
      <c r="M24" s="12">
        <f t="shared" si="20"/>
        <v>-144633.86843323999</v>
      </c>
      <c r="N24" s="12">
        <f t="shared" si="20"/>
        <v>-151865.56185490199</v>
      </c>
      <c r="O24" s="12">
        <f t="shared" si="20"/>
        <v>-159458.83994764709</v>
      </c>
      <c r="P24" s="12">
        <f t="shared" si="20"/>
        <v>-167431.78194502945</v>
      </c>
      <c r="Q24" s="12">
        <f t="shared" si="20"/>
        <v>-175803.37104228092</v>
      </c>
      <c r="R24" s="12">
        <f t="shared" si="20"/>
        <v>-184593.53959439497</v>
      </c>
      <c r="S24" s="12">
        <f t="shared" si="20"/>
        <v>-193823.21657411472</v>
      </c>
      <c r="T24" s="12">
        <f t="shared" si="20"/>
        <v>-203514.37740282045</v>
      </c>
      <c r="U24" s="12">
        <f t="shared" si="20"/>
        <v>-213690.09627296147</v>
      </c>
      <c r="V24" s="12">
        <f t="shared" si="20"/>
        <v>-224374.60108660953</v>
      </c>
      <c r="W24" s="12">
        <f t="shared" si="20"/>
        <v>-235593.33114094002</v>
      </c>
    </row>
    <row r="25" spans="1:23">
      <c r="A25" s="119" t="s">
        <v>65</v>
      </c>
      <c r="B25" s="123" t="s">
        <v>66</v>
      </c>
      <c r="C25" s="116" t="s">
        <v>59</v>
      </c>
      <c r="D25" s="121">
        <v>86408.3</v>
      </c>
      <c r="E25" s="122">
        <v>84879.679999999993</v>
      </c>
      <c r="F25" s="121">
        <v>0</v>
      </c>
      <c r="G25" s="12">
        <f t="shared" si="19"/>
        <v>89123.66399999999</v>
      </c>
      <c r="H25" s="12">
        <f t="shared" si="20"/>
        <v>93579.847199999989</v>
      </c>
      <c r="I25" s="12">
        <f t="shared" si="20"/>
        <v>98258.839559999993</v>
      </c>
      <c r="J25" s="12">
        <f t="shared" si="20"/>
        <v>103171.781538</v>
      </c>
      <c r="K25" s="12">
        <f t="shared" si="20"/>
        <v>108330.37061489999</v>
      </c>
      <c r="L25" s="12">
        <f t="shared" si="20"/>
        <v>113746.88914564499</v>
      </c>
      <c r="M25" s="12">
        <f t="shared" si="20"/>
        <v>119434.23360292724</v>
      </c>
      <c r="N25" s="12">
        <f t="shared" si="20"/>
        <v>125405.9452830736</v>
      </c>
      <c r="O25" s="12">
        <f t="shared" si="20"/>
        <v>131676.24254722727</v>
      </c>
      <c r="P25" s="12">
        <f t="shared" si="20"/>
        <v>138260.05467458864</v>
      </c>
      <c r="Q25" s="12">
        <f t="shared" si="20"/>
        <v>145173.05740831807</v>
      </c>
      <c r="R25" s="12">
        <f t="shared" si="20"/>
        <v>152431.71027873398</v>
      </c>
      <c r="S25" s="12">
        <f t="shared" si="20"/>
        <v>160053.29579267069</v>
      </c>
      <c r="T25" s="12">
        <f t="shared" si="20"/>
        <v>168055.96058230422</v>
      </c>
      <c r="U25" s="12">
        <f t="shared" si="20"/>
        <v>176458.75861141944</v>
      </c>
      <c r="V25" s="12">
        <f t="shared" si="20"/>
        <v>185281.69654199042</v>
      </c>
      <c r="W25" s="12">
        <f t="shared" si="20"/>
        <v>194545.78136908993</v>
      </c>
    </row>
    <row r="26" spans="1:23">
      <c r="A26" s="119" t="s">
        <v>67</v>
      </c>
      <c r="B26" s="123" t="s">
        <v>68</v>
      </c>
      <c r="C26" s="116" t="s">
        <v>59</v>
      </c>
      <c r="D26" s="121">
        <v>17306.150000000001</v>
      </c>
      <c r="E26" s="122">
        <v>58196.18</v>
      </c>
      <c r="F26" s="121">
        <v>23000</v>
      </c>
      <c r="G26" s="12">
        <f t="shared" si="19"/>
        <v>61105.989000000001</v>
      </c>
      <c r="H26" s="12">
        <f t="shared" si="20"/>
        <v>64161.28845</v>
      </c>
      <c r="I26" s="12">
        <f t="shared" si="20"/>
        <v>67369.352872500007</v>
      </c>
      <c r="J26" s="12">
        <f t="shared" si="20"/>
        <v>70737.820516125008</v>
      </c>
      <c r="K26" s="12">
        <f t="shared" si="20"/>
        <v>74274.711541931261</v>
      </c>
      <c r="L26" s="12">
        <f t="shared" si="20"/>
        <v>77988.447119027827</v>
      </c>
      <c r="M26" s="12">
        <f t="shared" si="20"/>
        <v>81887.869474979219</v>
      </c>
      <c r="N26" s="12">
        <f t="shared" si="20"/>
        <v>85982.262948728181</v>
      </c>
      <c r="O26" s="12">
        <f t="shared" si="20"/>
        <v>90281.376096164589</v>
      </c>
      <c r="P26" s="12">
        <f t="shared" si="20"/>
        <v>94795.444900972812</v>
      </c>
      <c r="Q26" s="12">
        <f t="shared" si="20"/>
        <v>99535.217146021459</v>
      </c>
      <c r="R26" s="12">
        <f t="shared" si="20"/>
        <v>104511.97800332253</v>
      </c>
      <c r="S26" s="12">
        <f t="shared" si="20"/>
        <v>109737.57690348865</v>
      </c>
      <c r="T26" s="12">
        <f t="shared" si="20"/>
        <v>115224.45574866308</v>
      </c>
      <c r="U26" s="12">
        <f t="shared" si="20"/>
        <v>120985.67853609624</v>
      </c>
      <c r="V26" s="12">
        <f t="shared" si="20"/>
        <v>127034.96246290105</v>
      </c>
      <c r="W26" s="12">
        <f t="shared" si="20"/>
        <v>133386.7105860461</v>
      </c>
    </row>
    <row r="27" spans="1:23">
      <c r="A27" s="114" t="s">
        <v>69</v>
      </c>
      <c r="B27" s="124" t="s">
        <v>70</v>
      </c>
      <c r="C27" s="116" t="s">
        <v>59</v>
      </c>
      <c r="D27" s="117">
        <f>SUM(D28:D36)</f>
        <v>4273456.54</v>
      </c>
      <c r="E27" s="118">
        <f>SUM(E28:E36)</f>
        <v>3988185.5899999994</v>
      </c>
      <c r="F27" s="117">
        <f>SUM(F28:F36)</f>
        <v>941000</v>
      </c>
      <c r="G27" s="166">
        <f t="shared" ref="G27:H27" si="21">SUM(G28:G36)</f>
        <v>4130659.6595000001</v>
      </c>
      <c r="H27" s="166">
        <f t="shared" si="21"/>
        <v>4657091.3883429663</v>
      </c>
      <c r="I27" s="166">
        <f t="shared" ref="I27" si="22">SUM(I28:I36)</f>
        <v>4507964.3123921491</v>
      </c>
      <c r="J27" s="166">
        <f t="shared" ref="J27" si="23">SUM(J28:J36)</f>
        <v>4438407.7442492554</v>
      </c>
      <c r="K27" s="166">
        <f t="shared" ref="K27" si="24">SUM(K28:K36)</f>
        <v>4891670.0131992185</v>
      </c>
      <c r="L27" s="166">
        <f t="shared" ref="L27" si="25">SUM(L28:L36)</f>
        <v>4856046.4692848045</v>
      </c>
      <c r="M27" s="166">
        <f t="shared" ref="M27" si="26">SUM(M28:M36)</f>
        <v>5318623.5803996697</v>
      </c>
      <c r="N27" s="166">
        <f t="shared" ref="N27" si="27">SUM(N28:N36)</f>
        <v>5318358.0670739971</v>
      </c>
      <c r="O27" s="166">
        <f t="shared" ref="O27" si="28">SUM(O28:O36)</f>
        <v>5793062.0186957894</v>
      </c>
      <c r="P27" s="166">
        <f t="shared" ref="P27" si="29">SUM(P28:P36)</f>
        <v>5829828.2619022066</v>
      </c>
      <c r="Q27" s="166">
        <f t="shared" ref="Q27" si="30">SUM(Q28:Q36)</f>
        <v>6319666.4208520073</v>
      </c>
      <c r="R27" s="166">
        <f t="shared" ref="R27" si="31">SUM(R28:R36)</f>
        <v>6395407.2270526504</v>
      </c>
      <c r="S27" s="166">
        <f t="shared" ref="S27" si="32">SUM(S28:S36)</f>
        <v>6903606.9969672384</v>
      </c>
      <c r="T27" s="166">
        <f t="shared" ref="T27" si="33">SUM(T28:T36)</f>
        <v>7020556.9577157423</v>
      </c>
      <c r="U27" s="166">
        <f t="shared" ref="U27" si="34">SUM(U28:U36)</f>
        <v>7550592.743735387</v>
      </c>
      <c r="V27" s="166">
        <f t="shared" ref="V27" si="35">SUM(V28:V36)</f>
        <v>7711303.5112772919</v>
      </c>
      <c r="W27" s="166">
        <f t="shared" ref="W27" si="36">SUM(W28:W36)</f>
        <v>8266926.2280683219</v>
      </c>
    </row>
    <row r="28" spans="1:23">
      <c r="A28" s="119" t="s">
        <v>71</v>
      </c>
      <c r="B28" s="120" t="s">
        <v>72</v>
      </c>
      <c r="C28" s="116" t="s">
        <v>59</v>
      </c>
      <c r="D28" s="121">
        <v>474686.79</v>
      </c>
      <c r="E28" s="122">
        <v>569352.1</v>
      </c>
      <c r="F28" s="121">
        <v>271000</v>
      </c>
      <c r="G28" s="12">
        <f>E28-E28*0.05</f>
        <v>540884.495</v>
      </c>
      <c r="H28" s="12">
        <f t="shared" ref="H28:W28" si="37">F28-F28*0.05</f>
        <v>257450</v>
      </c>
      <c r="I28" s="12">
        <f t="shared" si="37"/>
        <v>513840.27025</v>
      </c>
      <c r="J28" s="12">
        <f t="shared" si="37"/>
        <v>244577.5</v>
      </c>
      <c r="K28" s="12">
        <f t="shared" si="37"/>
        <v>488148.25673750002</v>
      </c>
      <c r="L28" s="12">
        <f t="shared" si="37"/>
        <v>232348.625</v>
      </c>
      <c r="M28" s="12">
        <f t="shared" si="37"/>
        <v>463740.84390062501</v>
      </c>
      <c r="N28" s="12">
        <f t="shared" si="37"/>
        <v>220731.19375000001</v>
      </c>
      <c r="O28" s="12">
        <f t="shared" si="37"/>
        <v>440553.80170559377</v>
      </c>
      <c r="P28" s="12">
        <f t="shared" si="37"/>
        <v>209694.6340625</v>
      </c>
      <c r="Q28" s="12">
        <f t="shared" si="37"/>
        <v>418526.11162031407</v>
      </c>
      <c r="R28" s="12">
        <f t="shared" si="37"/>
        <v>199209.902359375</v>
      </c>
      <c r="S28" s="12">
        <f t="shared" si="37"/>
        <v>397599.80603929836</v>
      </c>
      <c r="T28" s="12">
        <f t="shared" si="37"/>
        <v>189249.40724140624</v>
      </c>
      <c r="U28" s="12">
        <f t="shared" si="37"/>
        <v>377719.81573733344</v>
      </c>
      <c r="V28" s="12">
        <f t="shared" si="37"/>
        <v>179786.93687933593</v>
      </c>
      <c r="W28" s="12">
        <f t="shared" si="37"/>
        <v>358833.82495046675</v>
      </c>
    </row>
    <row r="29" spans="1:23">
      <c r="A29" s="119" t="s">
        <v>63</v>
      </c>
      <c r="B29" s="120" t="s">
        <v>73</v>
      </c>
      <c r="C29" s="116" t="s">
        <v>59</v>
      </c>
      <c r="D29" s="121">
        <v>772615.7</v>
      </c>
      <c r="E29" s="122">
        <v>591490.31999999995</v>
      </c>
      <c r="F29" s="121">
        <v>54000</v>
      </c>
      <c r="G29" s="12">
        <f t="shared" ref="G29:G36" si="38">E29+E29*0.05</f>
        <v>621064.83599999989</v>
      </c>
      <c r="H29" s="15">
        <f>(G29+G29*0.05)+I14</f>
        <v>1282495.5434179665</v>
      </c>
      <c r="I29" s="12">
        <f>(H29+H29*0.05)-I14</f>
        <v>716242.85497089836</v>
      </c>
      <c r="J29" s="12">
        <f t="shared" ref="H29:W36" si="39">I29+I29*0.05</f>
        <v>752054.99771944329</v>
      </c>
      <c r="K29" s="12">
        <f t="shared" si="39"/>
        <v>789657.74760541541</v>
      </c>
      <c r="L29" s="12">
        <f t="shared" si="39"/>
        <v>829140.63498568616</v>
      </c>
      <c r="M29" s="12">
        <f t="shared" si="39"/>
        <v>870597.66673497052</v>
      </c>
      <c r="N29" s="12">
        <f t="shared" si="39"/>
        <v>914127.5500717191</v>
      </c>
      <c r="O29" s="12">
        <f t="shared" si="39"/>
        <v>959833.9275753051</v>
      </c>
      <c r="P29" s="12">
        <f t="shared" si="39"/>
        <v>1007825.6239540704</v>
      </c>
      <c r="Q29" s="12">
        <f t="shared" si="39"/>
        <v>1058216.9051517739</v>
      </c>
      <c r="R29" s="12">
        <f t="shared" si="39"/>
        <v>1111127.7504093626</v>
      </c>
      <c r="S29" s="12">
        <f t="shared" si="39"/>
        <v>1166684.1379298307</v>
      </c>
      <c r="T29" s="12">
        <f t="shared" si="39"/>
        <v>1225018.3448263223</v>
      </c>
      <c r="U29" s="12">
        <f t="shared" si="39"/>
        <v>1286269.2620676383</v>
      </c>
      <c r="V29" s="12">
        <f t="shared" si="39"/>
        <v>1350582.7251710203</v>
      </c>
      <c r="W29" s="12">
        <f t="shared" si="39"/>
        <v>1418111.8614295712</v>
      </c>
    </row>
    <row r="30" spans="1:23">
      <c r="A30" s="119" t="s">
        <v>65</v>
      </c>
      <c r="B30" s="120" t="s">
        <v>74</v>
      </c>
      <c r="C30" s="116" t="s">
        <v>59</v>
      </c>
      <c r="D30" s="121">
        <v>413035.05</v>
      </c>
      <c r="E30" s="122">
        <v>240726.42</v>
      </c>
      <c r="F30" s="121">
        <v>57000</v>
      </c>
      <c r="G30" s="12">
        <f t="shared" si="38"/>
        <v>252762.74100000001</v>
      </c>
      <c r="H30" s="12">
        <f>(G30+G30*0.05)+H182</f>
        <v>265400.87805</v>
      </c>
      <c r="I30" s="15">
        <f t="shared" si="39"/>
        <v>278670.92195250001</v>
      </c>
      <c r="J30" s="15">
        <f t="shared" si="39"/>
        <v>292604.468050125</v>
      </c>
      <c r="K30" s="15">
        <f t="shared" si="39"/>
        <v>307234.69145263126</v>
      </c>
      <c r="L30" s="15">
        <f t="shared" si="39"/>
        <v>322596.4260252628</v>
      </c>
      <c r="M30" s="15">
        <f t="shared" si="39"/>
        <v>338726.24732652592</v>
      </c>
      <c r="N30" s="15">
        <f t="shared" si="39"/>
        <v>355662.5596928522</v>
      </c>
      <c r="O30" s="15">
        <f t="shared" si="39"/>
        <v>373445.68767749483</v>
      </c>
      <c r="P30" s="15">
        <f t="shared" si="39"/>
        <v>392117.97206136957</v>
      </c>
      <c r="Q30" s="15">
        <f t="shared" si="39"/>
        <v>411723.87066443806</v>
      </c>
      <c r="R30" s="15">
        <f t="shared" si="39"/>
        <v>432310.06419765996</v>
      </c>
      <c r="S30" s="15">
        <f t="shared" si="39"/>
        <v>453925.56740754296</v>
      </c>
      <c r="T30" s="15">
        <f t="shared" si="39"/>
        <v>476621.8457779201</v>
      </c>
      <c r="U30" s="15">
        <f t="shared" si="39"/>
        <v>500452.93806681607</v>
      </c>
      <c r="V30" s="15">
        <f t="shared" si="39"/>
        <v>525475.58497015689</v>
      </c>
      <c r="W30" s="15">
        <f t="shared" si="39"/>
        <v>551749.3642186647</v>
      </c>
    </row>
    <row r="31" spans="1:23">
      <c r="A31" s="119" t="s">
        <v>67</v>
      </c>
      <c r="B31" s="120" t="s">
        <v>75</v>
      </c>
      <c r="C31" s="116" t="s">
        <v>59</v>
      </c>
      <c r="D31" s="121">
        <v>837055</v>
      </c>
      <c r="E31" s="122">
        <v>982386.5</v>
      </c>
      <c r="F31" s="121">
        <v>41000</v>
      </c>
      <c r="G31" s="12">
        <f t="shared" si="38"/>
        <v>1031505.825</v>
      </c>
      <c r="H31" s="12">
        <f t="shared" si="39"/>
        <v>1083081.11625</v>
      </c>
      <c r="I31" s="12">
        <f>(H31+H31*0.05)+I182</f>
        <v>1142113.2220625</v>
      </c>
      <c r="J31" s="12">
        <f t="shared" si="39"/>
        <v>1199218.8831656249</v>
      </c>
      <c r="K31" s="12">
        <f t="shared" si="39"/>
        <v>1259179.8273239061</v>
      </c>
      <c r="L31" s="12">
        <f t="shared" si="39"/>
        <v>1322138.8186901014</v>
      </c>
      <c r="M31" s="12">
        <f t="shared" si="39"/>
        <v>1388245.7596246065</v>
      </c>
      <c r="N31" s="12">
        <f t="shared" si="39"/>
        <v>1457658.0476058368</v>
      </c>
      <c r="O31" s="12">
        <f t="shared" si="39"/>
        <v>1530540.9499861286</v>
      </c>
      <c r="P31" s="12">
        <f t="shared" si="39"/>
        <v>1607067.9974854351</v>
      </c>
      <c r="Q31" s="12">
        <f t="shared" si="39"/>
        <v>1687421.3973597069</v>
      </c>
      <c r="R31" s="12">
        <f t="shared" si="39"/>
        <v>1771792.4672276923</v>
      </c>
      <c r="S31" s="12">
        <f t="shared" si="39"/>
        <v>1860382.0905890767</v>
      </c>
      <c r="T31" s="12">
        <f t="shared" si="39"/>
        <v>1953401.1951185307</v>
      </c>
      <c r="U31" s="12">
        <f t="shared" si="39"/>
        <v>2051071.2548744571</v>
      </c>
      <c r="V31" s="12">
        <f t="shared" si="39"/>
        <v>2153624.8176181801</v>
      </c>
      <c r="W31" s="12">
        <f t="shared" si="39"/>
        <v>2261306.058499089</v>
      </c>
    </row>
    <row r="32" spans="1:23">
      <c r="A32" s="119"/>
      <c r="B32" s="120" t="s">
        <v>76</v>
      </c>
      <c r="C32" s="116" t="s">
        <v>59</v>
      </c>
      <c r="D32" s="121">
        <v>0</v>
      </c>
      <c r="E32" s="122">
        <v>0</v>
      </c>
      <c r="F32" s="121">
        <v>0</v>
      </c>
      <c r="G32" s="12">
        <f t="shared" si="38"/>
        <v>0</v>
      </c>
      <c r="H32" s="12">
        <f t="shared" si="39"/>
        <v>0</v>
      </c>
      <c r="I32" s="12">
        <f t="shared" si="39"/>
        <v>0</v>
      </c>
      <c r="J32" s="12">
        <f t="shared" si="39"/>
        <v>0</v>
      </c>
      <c r="K32" s="12">
        <f t="shared" si="39"/>
        <v>0</v>
      </c>
      <c r="L32" s="12">
        <f t="shared" si="39"/>
        <v>0</v>
      </c>
      <c r="M32" s="12">
        <f t="shared" si="39"/>
        <v>0</v>
      </c>
      <c r="N32" s="12">
        <f t="shared" si="39"/>
        <v>0</v>
      </c>
      <c r="O32" s="12">
        <f t="shared" si="39"/>
        <v>0</v>
      </c>
      <c r="P32" s="12">
        <f t="shared" si="39"/>
        <v>0</v>
      </c>
      <c r="Q32" s="12">
        <f t="shared" si="39"/>
        <v>0</v>
      </c>
      <c r="R32" s="12">
        <f t="shared" si="39"/>
        <v>0</v>
      </c>
      <c r="S32" s="12">
        <f t="shared" si="39"/>
        <v>0</v>
      </c>
      <c r="T32" s="12">
        <f t="shared" si="39"/>
        <v>0</v>
      </c>
      <c r="U32" s="12">
        <f t="shared" si="39"/>
        <v>0</v>
      </c>
      <c r="V32" s="12">
        <f t="shared" si="39"/>
        <v>0</v>
      </c>
      <c r="W32" s="12">
        <f t="shared" si="39"/>
        <v>0</v>
      </c>
    </row>
    <row r="33" spans="1:23">
      <c r="A33" s="119" t="s">
        <v>77</v>
      </c>
      <c r="B33" s="120" t="s">
        <v>78</v>
      </c>
      <c r="C33" s="116" t="s">
        <v>59</v>
      </c>
      <c r="D33" s="121">
        <v>1362993.97</v>
      </c>
      <c r="E33" s="122">
        <v>1190920.19</v>
      </c>
      <c r="F33" s="121">
        <v>399000</v>
      </c>
      <c r="G33" s="12">
        <f t="shared" si="38"/>
        <v>1250466.1994999999</v>
      </c>
      <c r="H33" s="12">
        <f t="shared" si="39"/>
        <v>1312989.509475</v>
      </c>
      <c r="I33" s="12">
        <f t="shared" si="39"/>
        <v>1378638.9849487499</v>
      </c>
      <c r="J33" s="12">
        <f t="shared" si="39"/>
        <v>1447570.9341961874</v>
      </c>
      <c r="K33" s="12">
        <f t="shared" si="39"/>
        <v>1519949.4809059969</v>
      </c>
      <c r="L33" s="12">
        <f t="shared" si="39"/>
        <v>1595946.9549512968</v>
      </c>
      <c r="M33" s="12">
        <f t="shared" si="39"/>
        <v>1675744.3026988616</v>
      </c>
      <c r="N33" s="12">
        <f t="shared" si="39"/>
        <v>1759531.5178338047</v>
      </c>
      <c r="O33" s="12">
        <f t="shared" si="39"/>
        <v>1847508.093725495</v>
      </c>
      <c r="P33" s="12">
        <f t="shared" si="39"/>
        <v>1939883.4984117697</v>
      </c>
      <c r="Q33" s="12">
        <f t="shared" si="39"/>
        <v>2036877.6733323582</v>
      </c>
      <c r="R33" s="12">
        <f t="shared" si="39"/>
        <v>2138721.556998976</v>
      </c>
      <c r="S33" s="12">
        <f t="shared" si="39"/>
        <v>2245657.6348489248</v>
      </c>
      <c r="T33" s="12">
        <f t="shared" si="39"/>
        <v>2357940.516591371</v>
      </c>
      <c r="U33" s="12">
        <f t="shared" si="39"/>
        <v>2475837.5424209395</v>
      </c>
      <c r="V33" s="12">
        <f t="shared" si="39"/>
        <v>2599629.4195419867</v>
      </c>
      <c r="W33" s="12">
        <f t="shared" si="39"/>
        <v>2729610.8905190858</v>
      </c>
    </row>
    <row r="34" spans="1:23">
      <c r="A34" s="119" t="s">
        <v>79</v>
      </c>
      <c r="B34" s="123" t="s">
        <v>80</v>
      </c>
      <c r="C34" s="116" t="s">
        <v>59</v>
      </c>
      <c r="D34" s="121">
        <v>348590.66</v>
      </c>
      <c r="E34" s="122">
        <v>295067.52000000002</v>
      </c>
      <c r="F34" s="121">
        <v>81000</v>
      </c>
      <c r="G34" s="12">
        <f t="shared" si="38"/>
        <v>309820.89600000001</v>
      </c>
      <c r="H34" s="12">
        <f t="shared" si="39"/>
        <v>325311.94079999998</v>
      </c>
      <c r="I34" s="12">
        <f t="shared" si="39"/>
        <v>341577.53784</v>
      </c>
      <c r="J34" s="12">
        <f t="shared" si="39"/>
        <v>358656.41473199998</v>
      </c>
      <c r="K34" s="12">
        <f t="shared" si="39"/>
        <v>376589.23546859995</v>
      </c>
      <c r="L34" s="12">
        <f t="shared" si="39"/>
        <v>395418.69724202994</v>
      </c>
      <c r="M34" s="12">
        <f t="shared" si="39"/>
        <v>415189.63210413145</v>
      </c>
      <c r="N34" s="12">
        <f t="shared" si="39"/>
        <v>435949.11370933801</v>
      </c>
      <c r="O34" s="12">
        <f t="shared" si="39"/>
        <v>457746.56939480489</v>
      </c>
      <c r="P34" s="12">
        <f t="shared" si="39"/>
        <v>480633.89786454511</v>
      </c>
      <c r="Q34" s="12">
        <f t="shared" si="39"/>
        <v>504665.59275777236</v>
      </c>
      <c r="R34" s="12">
        <f t="shared" si="39"/>
        <v>529898.87239566096</v>
      </c>
      <c r="S34" s="12">
        <f t="shared" si="39"/>
        <v>556393.816015444</v>
      </c>
      <c r="T34" s="12">
        <f t="shared" si="39"/>
        <v>584213.50681621616</v>
      </c>
      <c r="U34" s="12">
        <f t="shared" si="39"/>
        <v>613424.18215702695</v>
      </c>
      <c r="V34" s="12">
        <f t="shared" si="39"/>
        <v>644095.39126487833</v>
      </c>
      <c r="W34" s="12">
        <f t="shared" si="39"/>
        <v>676300.16082812229</v>
      </c>
    </row>
    <row r="35" spans="1:23">
      <c r="A35" s="119" t="s">
        <v>81</v>
      </c>
      <c r="B35" s="120" t="s">
        <v>82</v>
      </c>
      <c r="C35" s="116" t="s">
        <v>59</v>
      </c>
      <c r="D35" s="121">
        <v>49601.19</v>
      </c>
      <c r="E35" s="122">
        <v>78595.009999999995</v>
      </c>
      <c r="F35" s="121">
        <v>23000</v>
      </c>
      <c r="G35" s="12">
        <f t="shared" si="38"/>
        <v>82524.760499999989</v>
      </c>
      <c r="H35" s="12">
        <f t="shared" si="39"/>
        <v>86650.998524999988</v>
      </c>
      <c r="I35" s="12">
        <f t="shared" si="39"/>
        <v>90983.548451249982</v>
      </c>
      <c r="J35" s="12">
        <f t="shared" si="39"/>
        <v>95532.72587381248</v>
      </c>
      <c r="K35" s="12">
        <f t="shared" si="39"/>
        <v>100309.3621675031</v>
      </c>
      <c r="L35" s="12">
        <f t="shared" si="39"/>
        <v>105324.83027587825</v>
      </c>
      <c r="M35" s="12">
        <f t="shared" si="39"/>
        <v>110591.07178967216</v>
      </c>
      <c r="N35" s="12">
        <f t="shared" si="39"/>
        <v>116120.62537915577</v>
      </c>
      <c r="O35" s="12">
        <f t="shared" si="39"/>
        <v>121926.65664811355</v>
      </c>
      <c r="P35" s="12">
        <f t="shared" si="39"/>
        <v>128022.98948051923</v>
      </c>
      <c r="Q35" s="12">
        <f t="shared" si="39"/>
        <v>134424.1389545452</v>
      </c>
      <c r="R35" s="12">
        <f t="shared" si="39"/>
        <v>141145.34590227244</v>
      </c>
      <c r="S35" s="12">
        <f t="shared" si="39"/>
        <v>148202.61319738606</v>
      </c>
      <c r="T35" s="12">
        <f t="shared" si="39"/>
        <v>155612.74385725535</v>
      </c>
      <c r="U35" s="12">
        <f t="shared" si="39"/>
        <v>163393.38105011813</v>
      </c>
      <c r="V35" s="12">
        <f t="shared" si="39"/>
        <v>171563.05010262402</v>
      </c>
      <c r="W35" s="12">
        <f t="shared" si="39"/>
        <v>180141.20260775523</v>
      </c>
    </row>
    <row r="36" spans="1:23">
      <c r="A36" s="119" t="s">
        <v>83</v>
      </c>
      <c r="B36" s="123" t="s">
        <v>84</v>
      </c>
      <c r="C36" s="116" t="s">
        <v>59</v>
      </c>
      <c r="D36" s="121">
        <v>14878.18</v>
      </c>
      <c r="E36" s="122">
        <v>39647.53</v>
      </c>
      <c r="F36" s="121">
        <v>15000</v>
      </c>
      <c r="G36" s="12">
        <f t="shared" si="38"/>
        <v>41629.906499999997</v>
      </c>
      <c r="H36" s="12">
        <f t="shared" si="39"/>
        <v>43711.401824999994</v>
      </c>
      <c r="I36" s="12">
        <f t="shared" si="39"/>
        <v>45896.971916249997</v>
      </c>
      <c r="J36" s="12">
        <f t="shared" si="39"/>
        <v>48191.820512062499</v>
      </c>
      <c r="K36" s="12">
        <f t="shared" si="39"/>
        <v>50601.411537665626</v>
      </c>
      <c r="L36" s="12">
        <f t="shared" si="39"/>
        <v>53131.482114548911</v>
      </c>
      <c r="M36" s="12">
        <f t="shared" si="39"/>
        <v>55788.056220276354</v>
      </c>
      <c r="N36" s="12">
        <f t="shared" si="39"/>
        <v>58577.459031290171</v>
      </c>
      <c r="O36" s="12">
        <f t="shared" si="39"/>
        <v>61506.331982854681</v>
      </c>
      <c r="P36" s="12">
        <f t="shared" si="39"/>
        <v>64581.648581997419</v>
      </c>
      <c r="Q36" s="12">
        <f t="shared" si="39"/>
        <v>67810.73101109729</v>
      </c>
      <c r="R36" s="12">
        <f t="shared" si="39"/>
        <v>71201.267561652159</v>
      </c>
      <c r="S36" s="12">
        <f t="shared" si="39"/>
        <v>74761.330939734762</v>
      </c>
      <c r="T36" s="12">
        <f t="shared" si="39"/>
        <v>78499.3974867215</v>
      </c>
      <c r="U36" s="12">
        <f t="shared" si="39"/>
        <v>82424.367361057579</v>
      </c>
      <c r="V36" s="12">
        <f t="shared" si="39"/>
        <v>86545.585729110462</v>
      </c>
      <c r="W36" s="12">
        <f t="shared" si="39"/>
        <v>90872.865015565985</v>
      </c>
    </row>
    <row r="37" spans="1:23">
      <c r="A37" s="114" t="s">
        <v>85</v>
      </c>
      <c r="B37" s="124" t="s">
        <v>86</v>
      </c>
      <c r="C37" s="116" t="s">
        <v>59</v>
      </c>
      <c r="D37" s="117">
        <f>D21-D27</f>
        <v>545657.91999999993</v>
      </c>
      <c r="E37" s="118">
        <f>E21-E27</f>
        <v>469545.23999999976</v>
      </c>
      <c r="F37" s="117">
        <f>F21-F27</f>
        <v>-752000</v>
      </c>
      <c r="G37" s="166">
        <f>G21-G27</f>
        <v>549957.71199999936</v>
      </c>
      <c r="H37" s="166">
        <f>H21-H27</f>
        <v>257556.8517320333</v>
      </c>
      <c r="I37" s="166">
        <f t="shared" ref="I37:W37" si="40">I21-I27</f>
        <v>652416.33968660049</v>
      </c>
      <c r="J37" s="166">
        <f t="shared" si="40"/>
        <v>979991.94043343142</v>
      </c>
      <c r="K37" s="166">
        <f t="shared" si="40"/>
        <v>797649.65571760293</v>
      </c>
      <c r="L37" s="166">
        <f t="shared" si="40"/>
        <v>1117739.1830778578</v>
      </c>
      <c r="M37" s="166">
        <f t="shared" si="40"/>
        <v>953851.35458112508</v>
      </c>
      <c r="N37" s="166">
        <f t="shared" si="40"/>
        <v>1267740.6146558383</v>
      </c>
      <c r="O37" s="166">
        <f t="shared" si="40"/>
        <v>1122341.5971205365</v>
      </c>
      <c r="P37" s="166">
        <f t="shared" si="40"/>
        <v>1431345.5347049367</v>
      </c>
      <c r="Q37" s="166">
        <f t="shared" si="40"/>
        <v>1304566.0655854912</v>
      </c>
      <c r="R37" s="166">
        <f t="shared" si="40"/>
        <v>1610036.8837067233</v>
      </c>
      <c r="S37" s="166">
        <f t="shared" si="40"/>
        <v>1502109.3193301046</v>
      </c>
      <c r="T37" s="166">
        <f t="shared" si="40"/>
        <v>1805445.1743964683</v>
      </c>
      <c r="U37" s="166">
        <f t="shared" si="40"/>
        <v>1716709.4949824335</v>
      </c>
      <c r="V37" s="166">
        <f t="shared" si="40"/>
        <v>2019363.8393764198</v>
      </c>
      <c r="W37" s="166">
        <f t="shared" si="40"/>
        <v>1950274.490118077</v>
      </c>
    </row>
    <row r="38" spans="1:23">
      <c r="A38" s="114" t="s">
        <v>87</v>
      </c>
      <c r="B38" s="124" t="s">
        <v>88</v>
      </c>
      <c r="C38" s="116" t="s">
        <v>59</v>
      </c>
      <c r="D38" s="117">
        <f>SUM(D39:D41)</f>
        <v>37649.57</v>
      </c>
      <c r="E38" s="118">
        <f>SUM(E39:E41)</f>
        <v>167429.88</v>
      </c>
      <c r="F38" s="117">
        <f>SUM(F39:F41)</f>
        <v>263000</v>
      </c>
      <c r="G38" s="166">
        <f>SUM(G39:G41)</f>
        <v>175801.37400000001</v>
      </c>
      <c r="H38" s="166">
        <f>SUM(H39:H41)</f>
        <v>715142.28847527143</v>
      </c>
      <c r="I38" s="166">
        <f t="shared" ref="I38:W38" si="41">SUM(I39:I41)</f>
        <v>193821.01483500001</v>
      </c>
      <c r="J38" s="166">
        <f t="shared" si="41"/>
        <v>203512.06557675</v>
      </c>
      <c r="K38" s="166">
        <f t="shared" si="41"/>
        <v>213687.66885558752</v>
      </c>
      <c r="L38" s="166">
        <f t="shared" si="41"/>
        <v>224372.05229836691</v>
      </c>
      <c r="M38" s="166">
        <f t="shared" si="41"/>
        <v>235590.65491328522</v>
      </c>
      <c r="N38" s="166">
        <f t="shared" si="41"/>
        <v>247370.18765894946</v>
      </c>
      <c r="O38" s="166">
        <f t="shared" si="41"/>
        <v>259738.69704189696</v>
      </c>
      <c r="P38" s="166">
        <f t="shared" si="41"/>
        <v>272725.63189399178</v>
      </c>
      <c r="Q38" s="166">
        <f t="shared" si="41"/>
        <v>286361.91348869138</v>
      </c>
      <c r="R38" s="166">
        <f t="shared" si="41"/>
        <v>300680.00916312594</v>
      </c>
      <c r="S38" s="166">
        <f t="shared" si="41"/>
        <v>315714.00962128222</v>
      </c>
      <c r="T38" s="166">
        <f t="shared" si="41"/>
        <v>331499.71010234638</v>
      </c>
      <c r="U38" s="166">
        <f t="shared" si="41"/>
        <v>348074.69560746365</v>
      </c>
      <c r="V38" s="166">
        <f t="shared" si="41"/>
        <v>365478.43038783682</v>
      </c>
      <c r="W38" s="166">
        <f t="shared" si="41"/>
        <v>383752.3519072287</v>
      </c>
    </row>
    <row r="39" spans="1:23">
      <c r="A39" s="119" t="s">
        <v>61</v>
      </c>
      <c r="B39" s="123" t="s">
        <v>89</v>
      </c>
      <c r="C39" s="116" t="s">
        <v>59</v>
      </c>
      <c r="D39" s="121">
        <v>10500</v>
      </c>
      <c r="E39" s="122">
        <v>48665</v>
      </c>
      <c r="F39" s="121">
        <v>232000</v>
      </c>
      <c r="G39" s="12">
        <f>E39+E39*0.05</f>
        <v>51098.25</v>
      </c>
      <c r="H39" s="12">
        <f>G39+G39*0.05</f>
        <v>53653.162499999999</v>
      </c>
      <c r="I39" s="12">
        <f t="shared" ref="I39:W39" si="42">H39+H39*0.05</f>
        <v>56335.820625</v>
      </c>
      <c r="J39" s="12">
        <f t="shared" si="42"/>
        <v>59152.611656250003</v>
      </c>
      <c r="K39" s="12">
        <f t="shared" si="42"/>
        <v>62110.2422390625</v>
      </c>
      <c r="L39" s="12">
        <f t="shared" si="42"/>
        <v>65215.754351015625</v>
      </c>
      <c r="M39" s="12">
        <f t="shared" si="42"/>
        <v>68476.542068566399</v>
      </c>
      <c r="N39" s="12">
        <f t="shared" si="42"/>
        <v>71900.369171994724</v>
      </c>
      <c r="O39" s="12">
        <f t="shared" si="42"/>
        <v>75495.387630594458</v>
      </c>
      <c r="P39" s="12">
        <f t="shared" si="42"/>
        <v>79270.157012124182</v>
      </c>
      <c r="Q39" s="12">
        <f t="shared" si="42"/>
        <v>83233.664862730395</v>
      </c>
      <c r="R39" s="12">
        <f t="shared" si="42"/>
        <v>87395.348105866913</v>
      </c>
      <c r="S39" s="12">
        <f t="shared" si="42"/>
        <v>91765.115511160257</v>
      </c>
      <c r="T39" s="12">
        <f t="shared" si="42"/>
        <v>96353.371286718262</v>
      </c>
      <c r="U39" s="12">
        <f t="shared" si="42"/>
        <v>101171.03985105417</v>
      </c>
      <c r="V39" s="12">
        <f t="shared" si="42"/>
        <v>106229.59184360688</v>
      </c>
      <c r="W39" s="12">
        <f t="shared" si="42"/>
        <v>111541.07143578722</v>
      </c>
    </row>
    <row r="40" spans="1:23">
      <c r="A40" s="119" t="s">
        <v>63</v>
      </c>
      <c r="B40" s="120" t="s">
        <v>90</v>
      </c>
      <c r="C40" s="116" t="s">
        <v>59</v>
      </c>
      <c r="D40" s="121">
        <v>0</v>
      </c>
      <c r="E40" s="122">
        <v>0</v>
      </c>
      <c r="F40" s="121">
        <v>0</v>
      </c>
      <c r="G40" s="12">
        <f t="shared" ref="G40:G41" si="43">E40+E40*0.05</f>
        <v>0</v>
      </c>
      <c r="H40" s="15">
        <f>L14</f>
        <v>530550.84577527142</v>
      </c>
      <c r="I40" s="12">
        <v>0</v>
      </c>
      <c r="J40" s="12">
        <f t="shared" ref="H40:W41" si="44">I40+I40*0.05</f>
        <v>0</v>
      </c>
      <c r="K40" s="12">
        <f t="shared" si="44"/>
        <v>0</v>
      </c>
      <c r="L40" s="12">
        <f t="shared" si="44"/>
        <v>0</v>
      </c>
      <c r="M40" s="12">
        <f t="shared" si="44"/>
        <v>0</v>
      </c>
      <c r="N40" s="12">
        <f t="shared" si="44"/>
        <v>0</v>
      </c>
      <c r="O40" s="12">
        <f t="shared" si="44"/>
        <v>0</v>
      </c>
      <c r="P40" s="12">
        <f t="shared" si="44"/>
        <v>0</v>
      </c>
      <c r="Q40" s="12">
        <f t="shared" si="44"/>
        <v>0</v>
      </c>
      <c r="R40" s="12">
        <f t="shared" si="44"/>
        <v>0</v>
      </c>
      <c r="S40" s="12">
        <f t="shared" si="44"/>
        <v>0</v>
      </c>
      <c r="T40" s="12">
        <f t="shared" si="44"/>
        <v>0</v>
      </c>
      <c r="U40" s="12">
        <f t="shared" si="44"/>
        <v>0</v>
      </c>
      <c r="V40" s="12">
        <f t="shared" si="44"/>
        <v>0</v>
      </c>
      <c r="W40" s="12">
        <f t="shared" si="44"/>
        <v>0</v>
      </c>
    </row>
    <row r="41" spans="1:23">
      <c r="A41" s="119" t="s">
        <v>65</v>
      </c>
      <c r="B41" s="120" t="s">
        <v>91</v>
      </c>
      <c r="C41" s="116" t="s">
        <v>59</v>
      </c>
      <c r="D41" s="121">
        <v>27149.57</v>
      </c>
      <c r="E41" s="122">
        <v>118764.88</v>
      </c>
      <c r="F41" s="121">
        <v>31000</v>
      </c>
      <c r="G41" s="12">
        <f t="shared" si="43"/>
        <v>124703.12400000001</v>
      </c>
      <c r="H41" s="12">
        <f t="shared" si="44"/>
        <v>130938.28020000001</v>
      </c>
      <c r="I41" s="12">
        <f t="shared" si="44"/>
        <v>137485.19421000002</v>
      </c>
      <c r="J41" s="12">
        <f t="shared" si="44"/>
        <v>144359.4539205</v>
      </c>
      <c r="K41" s="12">
        <f t="shared" si="44"/>
        <v>151577.42661652502</v>
      </c>
      <c r="L41" s="12">
        <f t="shared" si="44"/>
        <v>159156.29794735127</v>
      </c>
      <c r="M41" s="12">
        <f t="shared" si="44"/>
        <v>167114.11284471882</v>
      </c>
      <c r="N41" s="12">
        <f t="shared" si="44"/>
        <v>175469.81848695475</v>
      </c>
      <c r="O41" s="12">
        <f t="shared" si="44"/>
        <v>184243.3094113025</v>
      </c>
      <c r="P41" s="12">
        <f t="shared" si="44"/>
        <v>193455.47488186762</v>
      </c>
      <c r="Q41" s="12">
        <f t="shared" si="44"/>
        <v>203128.24862596099</v>
      </c>
      <c r="R41" s="12">
        <f t="shared" si="44"/>
        <v>213284.66105725904</v>
      </c>
      <c r="S41" s="12">
        <f t="shared" si="44"/>
        <v>223948.894110122</v>
      </c>
      <c r="T41" s="12">
        <f t="shared" si="44"/>
        <v>235146.33881562809</v>
      </c>
      <c r="U41" s="12">
        <f t="shared" si="44"/>
        <v>246903.65575640948</v>
      </c>
      <c r="V41" s="12">
        <f t="shared" si="44"/>
        <v>259248.83854422995</v>
      </c>
      <c r="W41" s="12">
        <f t="shared" si="44"/>
        <v>272211.28047144145</v>
      </c>
    </row>
    <row r="42" spans="1:23">
      <c r="A42" s="114" t="s">
        <v>92</v>
      </c>
      <c r="B42" s="124" t="s">
        <v>93</v>
      </c>
      <c r="C42" s="116" t="s">
        <v>59</v>
      </c>
      <c r="D42" s="117">
        <f>SUM(D43:D45)</f>
        <v>44930.12</v>
      </c>
      <c r="E42" s="118">
        <f>SUM(E43:E45)</f>
        <v>146012.72</v>
      </c>
      <c r="F42" s="117">
        <f>SUM(F43:F45)</f>
        <v>277000</v>
      </c>
      <c r="G42" s="166">
        <f>SUM(G43:G45)</f>
        <v>153313.356</v>
      </c>
      <c r="H42" s="166">
        <f>SUM(H43:H45)</f>
        <v>160979.02380000002</v>
      </c>
      <c r="I42" s="166">
        <f t="shared" ref="I42:W42" si="45">SUM(I43:I45)</f>
        <v>169027.97499000002</v>
      </c>
      <c r="J42" s="166">
        <f t="shared" si="45"/>
        <v>177479.37373950001</v>
      </c>
      <c r="K42" s="166">
        <f t="shared" si="45"/>
        <v>186353.34242647499</v>
      </c>
      <c r="L42" s="166">
        <f t="shared" si="45"/>
        <v>195671.00954779878</v>
      </c>
      <c r="M42" s="166">
        <f t="shared" si="45"/>
        <v>205454.56002518869</v>
      </c>
      <c r="N42" s="166">
        <f t="shared" si="45"/>
        <v>215727.28802644814</v>
      </c>
      <c r="O42" s="166">
        <f t="shared" si="45"/>
        <v>226513.65242777055</v>
      </c>
      <c r="P42" s="166">
        <f t="shared" si="45"/>
        <v>237839.33504915907</v>
      </c>
      <c r="Q42" s="166">
        <f t="shared" si="45"/>
        <v>249731.30180161702</v>
      </c>
      <c r="R42" s="166">
        <f t="shared" si="45"/>
        <v>262217.86689169786</v>
      </c>
      <c r="S42" s="166">
        <f t="shared" si="45"/>
        <v>275328.76023628277</v>
      </c>
      <c r="T42" s="166">
        <f t="shared" si="45"/>
        <v>289095.19824809692</v>
      </c>
      <c r="U42" s="166">
        <f t="shared" si="45"/>
        <v>303549.95816050173</v>
      </c>
      <c r="V42" s="166">
        <f t="shared" si="45"/>
        <v>318727.45606852684</v>
      </c>
      <c r="W42" s="166">
        <f t="shared" si="45"/>
        <v>334663.82887195318</v>
      </c>
    </row>
    <row r="43" spans="1:23">
      <c r="A43" s="119" t="s">
        <v>61</v>
      </c>
      <c r="B43" s="123" t="s">
        <v>94</v>
      </c>
      <c r="C43" s="116" t="s">
        <v>59</v>
      </c>
      <c r="D43" s="121">
        <v>0</v>
      </c>
      <c r="E43" s="122">
        <v>23023.02</v>
      </c>
      <c r="F43" s="121">
        <v>271000</v>
      </c>
      <c r="G43" s="12">
        <f>E43+E43*0.05</f>
        <v>24174.171000000002</v>
      </c>
      <c r="H43" s="12">
        <f>G43+G43*0.05</f>
        <v>25382.879550000001</v>
      </c>
      <c r="I43" s="12">
        <f t="shared" ref="I43:W43" si="46">H43+H43*0.05</f>
        <v>26652.023527500001</v>
      </c>
      <c r="J43" s="12">
        <f t="shared" si="46"/>
        <v>27984.624703875001</v>
      </c>
      <c r="K43" s="12">
        <f t="shared" si="46"/>
        <v>29383.855939068751</v>
      </c>
      <c r="L43" s="12">
        <f t="shared" si="46"/>
        <v>30853.048736022189</v>
      </c>
      <c r="M43" s="12">
        <f t="shared" si="46"/>
        <v>32395.701172823297</v>
      </c>
      <c r="N43" s="12">
        <f t="shared" si="46"/>
        <v>34015.486231464463</v>
      </c>
      <c r="O43" s="12">
        <f t="shared" si="46"/>
        <v>35716.260543037686</v>
      </c>
      <c r="P43" s="12">
        <f t="shared" si="46"/>
        <v>37502.073570189568</v>
      </c>
      <c r="Q43" s="12">
        <f t="shared" si="46"/>
        <v>39377.177248699045</v>
      </c>
      <c r="R43" s="12">
        <f t="shared" si="46"/>
        <v>41346.036111133995</v>
      </c>
      <c r="S43" s="12">
        <f t="shared" si="46"/>
        <v>43413.337916690696</v>
      </c>
      <c r="T43" s="12">
        <f t="shared" si="46"/>
        <v>45584.004812525229</v>
      </c>
      <c r="U43" s="12">
        <f t="shared" si="46"/>
        <v>47863.205053151491</v>
      </c>
      <c r="V43" s="12">
        <f t="shared" si="46"/>
        <v>50256.365305809064</v>
      </c>
      <c r="W43" s="12">
        <f t="shared" si="46"/>
        <v>52769.183571099515</v>
      </c>
    </row>
    <row r="44" spans="1:23">
      <c r="A44" s="119" t="s">
        <v>63</v>
      </c>
      <c r="B44" s="123" t="s">
        <v>95</v>
      </c>
      <c r="C44" s="116" t="s">
        <v>59</v>
      </c>
      <c r="D44" s="121">
        <v>0</v>
      </c>
      <c r="E44" s="122">
        <v>0</v>
      </c>
      <c r="F44" s="121">
        <v>0</v>
      </c>
      <c r="G44" s="12">
        <f t="shared" ref="G44:G45" si="47">E44+E44*0.05</f>
        <v>0</v>
      </c>
      <c r="H44" s="12">
        <f t="shared" ref="H44:W45" si="48">G44+G44*0.05</f>
        <v>0</v>
      </c>
      <c r="I44" s="12">
        <f t="shared" si="48"/>
        <v>0</v>
      </c>
      <c r="J44" s="12">
        <f t="shared" si="48"/>
        <v>0</v>
      </c>
      <c r="K44" s="12">
        <f t="shared" si="48"/>
        <v>0</v>
      </c>
      <c r="L44" s="12">
        <f t="shared" si="48"/>
        <v>0</v>
      </c>
      <c r="M44" s="12">
        <f t="shared" si="48"/>
        <v>0</v>
      </c>
      <c r="N44" s="12">
        <f t="shared" si="48"/>
        <v>0</v>
      </c>
      <c r="O44" s="12">
        <f t="shared" si="48"/>
        <v>0</v>
      </c>
      <c r="P44" s="12">
        <f t="shared" si="48"/>
        <v>0</v>
      </c>
      <c r="Q44" s="12">
        <f t="shared" si="48"/>
        <v>0</v>
      </c>
      <c r="R44" s="12">
        <f t="shared" si="48"/>
        <v>0</v>
      </c>
      <c r="S44" s="12">
        <f t="shared" si="48"/>
        <v>0</v>
      </c>
      <c r="T44" s="12">
        <f t="shared" si="48"/>
        <v>0</v>
      </c>
      <c r="U44" s="12">
        <f t="shared" si="48"/>
        <v>0</v>
      </c>
      <c r="V44" s="12">
        <f t="shared" si="48"/>
        <v>0</v>
      </c>
      <c r="W44" s="12">
        <f t="shared" si="48"/>
        <v>0</v>
      </c>
    </row>
    <row r="45" spans="1:23">
      <c r="A45" s="119" t="s">
        <v>65</v>
      </c>
      <c r="B45" s="120" t="s">
        <v>96</v>
      </c>
      <c r="C45" s="116" t="s">
        <v>59</v>
      </c>
      <c r="D45" s="121">
        <v>44930.12</v>
      </c>
      <c r="E45" s="122">
        <v>122989.7</v>
      </c>
      <c r="F45" s="121">
        <v>6000</v>
      </c>
      <c r="G45" s="12">
        <f t="shared" si="47"/>
        <v>129139.185</v>
      </c>
      <c r="H45" s="12">
        <f t="shared" si="48"/>
        <v>135596.14425000001</v>
      </c>
      <c r="I45" s="12">
        <f t="shared" si="48"/>
        <v>142375.9514625</v>
      </c>
      <c r="J45" s="12">
        <f t="shared" si="48"/>
        <v>149494.74903562499</v>
      </c>
      <c r="K45" s="12">
        <f t="shared" si="48"/>
        <v>156969.48648740625</v>
      </c>
      <c r="L45" s="12">
        <f t="shared" si="48"/>
        <v>164817.96081177657</v>
      </c>
      <c r="M45" s="12">
        <f t="shared" si="48"/>
        <v>173058.8588523654</v>
      </c>
      <c r="N45" s="12">
        <f t="shared" si="48"/>
        <v>181711.80179498368</v>
      </c>
      <c r="O45" s="12">
        <f t="shared" si="48"/>
        <v>190797.39188473288</v>
      </c>
      <c r="P45" s="12">
        <f t="shared" si="48"/>
        <v>200337.26147896951</v>
      </c>
      <c r="Q45" s="12">
        <f t="shared" si="48"/>
        <v>210354.12455291799</v>
      </c>
      <c r="R45" s="12">
        <f t="shared" si="48"/>
        <v>220871.83078056388</v>
      </c>
      <c r="S45" s="12">
        <f t="shared" si="48"/>
        <v>231915.42231959206</v>
      </c>
      <c r="T45" s="12">
        <f t="shared" si="48"/>
        <v>243511.19343557168</v>
      </c>
      <c r="U45" s="12">
        <f t="shared" si="48"/>
        <v>255686.75310735026</v>
      </c>
      <c r="V45" s="12">
        <f t="shared" si="48"/>
        <v>268471.09076271777</v>
      </c>
      <c r="W45" s="12">
        <f t="shared" si="48"/>
        <v>281894.64530085365</v>
      </c>
    </row>
    <row r="46" spans="1:23">
      <c r="A46" s="114" t="s">
        <v>97</v>
      </c>
      <c r="B46" s="115" t="s">
        <v>98</v>
      </c>
      <c r="C46" s="116" t="s">
        <v>59</v>
      </c>
      <c r="D46" s="117">
        <f>D37+D38-D42</f>
        <v>538377.36999999988</v>
      </c>
      <c r="E46" s="118">
        <f>E37+E38-E42</f>
        <v>490962.39999999979</v>
      </c>
      <c r="F46" s="117">
        <f>F37+F38-F42</f>
        <v>-766000</v>
      </c>
      <c r="G46" s="166">
        <f>G37+G38-G42</f>
        <v>572445.7299999994</v>
      </c>
      <c r="H46" s="166">
        <f>H37+H38-H42</f>
        <v>811720.11640730477</v>
      </c>
      <c r="I46" s="166">
        <f t="shared" ref="I46:W46" si="49">I37+I38-I42</f>
        <v>677209.37953160051</v>
      </c>
      <c r="J46" s="166">
        <f t="shared" si="49"/>
        <v>1006024.6322706814</v>
      </c>
      <c r="K46" s="166">
        <f t="shared" si="49"/>
        <v>824983.9821467154</v>
      </c>
      <c r="L46" s="166">
        <f t="shared" si="49"/>
        <v>1146440.225828426</v>
      </c>
      <c r="M46" s="166">
        <f t="shared" si="49"/>
        <v>983987.44946922164</v>
      </c>
      <c r="N46" s="166">
        <f t="shared" si="49"/>
        <v>1299383.5142883398</v>
      </c>
      <c r="O46" s="166">
        <f t="shared" si="49"/>
        <v>1155566.6417346629</v>
      </c>
      <c r="P46" s="166">
        <f t="shared" si="49"/>
        <v>1466231.8315497693</v>
      </c>
      <c r="Q46" s="166">
        <f t="shared" si="49"/>
        <v>1341196.6772725657</v>
      </c>
      <c r="R46" s="166">
        <f t="shared" si="49"/>
        <v>1648499.0259781512</v>
      </c>
      <c r="S46" s="166">
        <f t="shared" si="49"/>
        <v>1542494.5687151039</v>
      </c>
      <c r="T46" s="166">
        <f t="shared" si="49"/>
        <v>1847849.6862507176</v>
      </c>
      <c r="U46" s="166">
        <f t="shared" si="49"/>
        <v>1761234.2324293954</v>
      </c>
      <c r="V46" s="166">
        <f t="shared" si="49"/>
        <v>2066114.8136957297</v>
      </c>
      <c r="W46" s="166">
        <f t="shared" si="49"/>
        <v>1999363.0131533523</v>
      </c>
    </row>
    <row r="47" spans="1:23">
      <c r="A47" s="114" t="s">
        <v>99</v>
      </c>
      <c r="B47" s="124" t="s">
        <v>100</v>
      </c>
      <c r="C47" s="116" t="s">
        <v>59</v>
      </c>
      <c r="D47" s="117">
        <f>SUM(D48:D54)</f>
        <v>33249.24</v>
      </c>
      <c r="E47" s="118">
        <f>SUM(E48:E54)</f>
        <v>28891.75</v>
      </c>
      <c r="F47" s="117">
        <f>SUM(F48:F54)</f>
        <v>28000</v>
      </c>
      <c r="G47" s="166">
        <f>SUM(G48:G54)</f>
        <v>30336.337500000001</v>
      </c>
      <c r="H47" s="166">
        <f>SUM(H48:H54)</f>
        <v>31853.154375000002</v>
      </c>
      <c r="I47" s="166">
        <f t="shared" ref="I47:W47" si="50">SUM(I48:I54)</f>
        <v>33445.812093749999</v>
      </c>
      <c r="J47" s="166">
        <f t="shared" si="50"/>
        <v>35118.102698437498</v>
      </c>
      <c r="K47" s="166">
        <f t="shared" si="50"/>
        <v>36874.00783335937</v>
      </c>
      <c r="L47" s="166">
        <f t="shared" si="50"/>
        <v>38717.708225027338</v>
      </c>
      <c r="M47" s="166">
        <f t="shared" si="50"/>
        <v>40653.593636278703</v>
      </c>
      <c r="N47" s="166">
        <f t="shared" si="50"/>
        <v>42686.273318092637</v>
      </c>
      <c r="O47" s="166">
        <f t="shared" si="50"/>
        <v>44820.586983997266</v>
      </c>
      <c r="P47" s="166">
        <f t="shared" si="50"/>
        <v>47061.616333197126</v>
      </c>
      <c r="Q47" s="166">
        <f t="shared" si="50"/>
        <v>49414.697149856984</v>
      </c>
      <c r="R47" s="166">
        <f t="shared" si="50"/>
        <v>51885.432007349831</v>
      </c>
      <c r="S47" s="166">
        <f t="shared" si="50"/>
        <v>54479.703607717325</v>
      </c>
      <c r="T47" s="166">
        <f t="shared" si="50"/>
        <v>57203.688788103194</v>
      </c>
      <c r="U47" s="166">
        <f t="shared" si="50"/>
        <v>60063.873227508353</v>
      </c>
      <c r="V47" s="166">
        <f t="shared" si="50"/>
        <v>63067.066888883768</v>
      </c>
      <c r="W47" s="166">
        <f t="shared" si="50"/>
        <v>66220.420233327954</v>
      </c>
    </row>
    <row r="48" spans="1:23">
      <c r="A48" s="119" t="s">
        <v>61</v>
      </c>
      <c r="B48" s="123" t="s">
        <v>101</v>
      </c>
      <c r="C48" s="116" t="s">
        <v>59</v>
      </c>
      <c r="D48" s="121">
        <v>0</v>
      </c>
      <c r="E48" s="122">
        <v>0</v>
      </c>
      <c r="F48" s="121">
        <v>0</v>
      </c>
      <c r="G48" s="12">
        <f>E48+E48*0.05</f>
        <v>0</v>
      </c>
      <c r="H48" s="12">
        <f>G48+G48*0.05</f>
        <v>0</v>
      </c>
      <c r="I48" s="12">
        <f t="shared" ref="I48:W48" si="51">H48+H48*0.05</f>
        <v>0</v>
      </c>
      <c r="J48" s="12">
        <f t="shared" si="51"/>
        <v>0</v>
      </c>
      <c r="K48" s="12">
        <f t="shared" si="51"/>
        <v>0</v>
      </c>
      <c r="L48" s="12">
        <f t="shared" si="51"/>
        <v>0</v>
      </c>
      <c r="M48" s="12">
        <f t="shared" si="51"/>
        <v>0</v>
      </c>
      <c r="N48" s="12">
        <f t="shared" si="51"/>
        <v>0</v>
      </c>
      <c r="O48" s="12">
        <f t="shared" si="51"/>
        <v>0</v>
      </c>
      <c r="P48" s="12">
        <f t="shared" si="51"/>
        <v>0</v>
      </c>
      <c r="Q48" s="12">
        <f t="shared" si="51"/>
        <v>0</v>
      </c>
      <c r="R48" s="12">
        <f t="shared" si="51"/>
        <v>0</v>
      </c>
      <c r="S48" s="12">
        <f t="shared" si="51"/>
        <v>0</v>
      </c>
      <c r="T48" s="12">
        <f t="shared" si="51"/>
        <v>0</v>
      </c>
      <c r="U48" s="12">
        <f t="shared" si="51"/>
        <v>0</v>
      </c>
      <c r="V48" s="12">
        <f t="shared" si="51"/>
        <v>0</v>
      </c>
      <c r="W48" s="12">
        <f t="shared" si="51"/>
        <v>0</v>
      </c>
    </row>
    <row r="49" spans="1:23">
      <c r="A49" s="119"/>
      <c r="B49" s="120" t="s">
        <v>60</v>
      </c>
      <c r="C49" s="116" t="s">
        <v>59</v>
      </c>
      <c r="D49" s="121">
        <v>0</v>
      </c>
      <c r="E49" s="122">
        <v>0</v>
      </c>
      <c r="F49" s="121">
        <v>0</v>
      </c>
      <c r="G49" s="12">
        <f t="shared" ref="G49:G54" si="52">E49+E49*0.05</f>
        <v>0</v>
      </c>
      <c r="H49" s="12">
        <f t="shared" ref="H49:W54" si="53">G49+G49*0.05</f>
        <v>0</v>
      </c>
      <c r="I49" s="12">
        <f t="shared" si="53"/>
        <v>0</v>
      </c>
      <c r="J49" s="12">
        <f t="shared" si="53"/>
        <v>0</v>
      </c>
      <c r="K49" s="12">
        <f t="shared" si="53"/>
        <v>0</v>
      </c>
      <c r="L49" s="12">
        <f t="shared" si="53"/>
        <v>0</v>
      </c>
      <c r="M49" s="12">
        <f t="shared" si="53"/>
        <v>0</v>
      </c>
      <c r="N49" s="12">
        <f t="shared" si="53"/>
        <v>0</v>
      </c>
      <c r="O49" s="12">
        <f t="shared" si="53"/>
        <v>0</v>
      </c>
      <c r="P49" s="12">
        <f t="shared" si="53"/>
        <v>0</v>
      </c>
      <c r="Q49" s="12">
        <f t="shared" si="53"/>
        <v>0</v>
      </c>
      <c r="R49" s="12">
        <f t="shared" si="53"/>
        <v>0</v>
      </c>
      <c r="S49" s="12">
        <f t="shared" si="53"/>
        <v>0</v>
      </c>
      <c r="T49" s="12">
        <f t="shared" si="53"/>
        <v>0</v>
      </c>
      <c r="U49" s="12">
        <f t="shared" si="53"/>
        <v>0</v>
      </c>
      <c r="V49" s="12">
        <f t="shared" si="53"/>
        <v>0</v>
      </c>
      <c r="W49" s="12">
        <f t="shared" si="53"/>
        <v>0</v>
      </c>
    </row>
    <row r="50" spans="1:23">
      <c r="A50" s="119" t="s">
        <v>63</v>
      </c>
      <c r="B50" s="120" t="s">
        <v>102</v>
      </c>
      <c r="C50" s="116" t="s">
        <v>59</v>
      </c>
      <c r="D50" s="121">
        <v>33249.24</v>
      </c>
      <c r="E50" s="122">
        <v>28891.75</v>
      </c>
      <c r="F50" s="121">
        <v>28000</v>
      </c>
      <c r="G50" s="12">
        <f t="shared" si="52"/>
        <v>30336.337500000001</v>
      </c>
      <c r="H50" s="12">
        <f t="shared" si="53"/>
        <v>31853.154375000002</v>
      </c>
      <c r="I50" s="12">
        <f t="shared" si="53"/>
        <v>33445.812093749999</v>
      </c>
      <c r="J50" s="12">
        <f t="shared" si="53"/>
        <v>35118.102698437498</v>
      </c>
      <c r="K50" s="12">
        <f t="shared" si="53"/>
        <v>36874.00783335937</v>
      </c>
      <c r="L50" s="12">
        <f t="shared" si="53"/>
        <v>38717.708225027338</v>
      </c>
      <c r="M50" s="12">
        <f t="shared" si="53"/>
        <v>40653.593636278703</v>
      </c>
      <c r="N50" s="12">
        <f t="shared" si="53"/>
        <v>42686.273318092637</v>
      </c>
      <c r="O50" s="12">
        <f t="shared" si="53"/>
        <v>44820.586983997266</v>
      </c>
      <c r="P50" s="12">
        <f t="shared" si="53"/>
        <v>47061.616333197126</v>
      </c>
      <c r="Q50" s="12">
        <f t="shared" si="53"/>
        <v>49414.697149856984</v>
      </c>
      <c r="R50" s="12">
        <f t="shared" si="53"/>
        <v>51885.432007349831</v>
      </c>
      <c r="S50" s="12">
        <f t="shared" si="53"/>
        <v>54479.703607717325</v>
      </c>
      <c r="T50" s="12">
        <f t="shared" si="53"/>
        <v>57203.688788103194</v>
      </c>
      <c r="U50" s="12">
        <f t="shared" si="53"/>
        <v>60063.873227508353</v>
      </c>
      <c r="V50" s="12">
        <f t="shared" si="53"/>
        <v>63067.066888883768</v>
      </c>
      <c r="W50" s="12">
        <f t="shared" si="53"/>
        <v>66220.420233327954</v>
      </c>
    </row>
    <row r="51" spans="1:23">
      <c r="A51" s="119"/>
      <c r="B51" s="120" t="s">
        <v>60</v>
      </c>
      <c r="C51" s="116" t="s">
        <v>59</v>
      </c>
      <c r="D51" s="121">
        <v>0</v>
      </c>
      <c r="E51" s="122">
        <v>0</v>
      </c>
      <c r="F51" s="121">
        <v>0</v>
      </c>
      <c r="G51" s="12">
        <f t="shared" si="52"/>
        <v>0</v>
      </c>
      <c r="H51" s="12">
        <f t="shared" si="53"/>
        <v>0</v>
      </c>
      <c r="I51" s="12">
        <f t="shared" si="53"/>
        <v>0</v>
      </c>
      <c r="J51" s="12">
        <f t="shared" si="53"/>
        <v>0</v>
      </c>
      <c r="K51" s="12">
        <f t="shared" si="53"/>
        <v>0</v>
      </c>
      <c r="L51" s="12">
        <f t="shared" si="53"/>
        <v>0</v>
      </c>
      <c r="M51" s="12">
        <f t="shared" si="53"/>
        <v>0</v>
      </c>
      <c r="N51" s="12">
        <f t="shared" si="53"/>
        <v>0</v>
      </c>
      <c r="O51" s="12">
        <f t="shared" si="53"/>
        <v>0</v>
      </c>
      <c r="P51" s="12">
        <f t="shared" si="53"/>
        <v>0</v>
      </c>
      <c r="Q51" s="12">
        <f t="shared" si="53"/>
        <v>0</v>
      </c>
      <c r="R51" s="12">
        <f t="shared" si="53"/>
        <v>0</v>
      </c>
      <c r="S51" s="12">
        <f t="shared" si="53"/>
        <v>0</v>
      </c>
      <c r="T51" s="12">
        <f t="shared" si="53"/>
        <v>0</v>
      </c>
      <c r="U51" s="12">
        <f t="shared" si="53"/>
        <v>0</v>
      </c>
      <c r="V51" s="12">
        <f t="shared" si="53"/>
        <v>0</v>
      </c>
      <c r="W51" s="12">
        <f t="shared" si="53"/>
        <v>0</v>
      </c>
    </row>
    <row r="52" spans="1:23">
      <c r="A52" s="119" t="s">
        <v>65</v>
      </c>
      <c r="B52" s="120" t="s">
        <v>103</v>
      </c>
      <c r="C52" s="116" t="s">
        <v>59</v>
      </c>
      <c r="D52" s="121">
        <v>0</v>
      </c>
      <c r="E52" s="122">
        <v>0</v>
      </c>
      <c r="F52" s="121">
        <v>0</v>
      </c>
      <c r="G52" s="12">
        <f t="shared" si="52"/>
        <v>0</v>
      </c>
      <c r="H52" s="12">
        <f t="shared" si="53"/>
        <v>0</v>
      </c>
      <c r="I52" s="12">
        <f t="shared" si="53"/>
        <v>0</v>
      </c>
      <c r="J52" s="12">
        <f t="shared" si="53"/>
        <v>0</v>
      </c>
      <c r="K52" s="12">
        <f t="shared" si="53"/>
        <v>0</v>
      </c>
      <c r="L52" s="12">
        <f t="shared" si="53"/>
        <v>0</v>
      </c>
      <c r="M52" s="12">
        <f t="shared" si="53"/>
        <v>0</v>
      </c>
      <c r="N52" s="12">
        <f t="shared" si="53"/>
        <v>0</v>
      </c>
      <c r="O52" s="12">
        <f t="shared" si="53"/>
        <v>0</v>
      </c>
      <c r="P52" s="12">
        <f t="shared" si="53"/>
        <v>0</v>
      </c>
      <c r="Q52" s="12">
        <f t="shared" si="53"/>
        <v>0</v>
      </c>
      <c r="R52" s="12">
        <f t="shared" si="53"/>
        <v>0</v>
      </c>
      <c r="S52" s="12">
        <f t="shared" si="53"/>
        <v>0</v>
      </c>
      <c r="T52" s="12">
        <f t="shared" si="53"/>
        <v>0</v>
      </c>
      <c r="U52" s="12">
        <f t="shared" si="53"/>
        <v>0</v>
      </c>
      <c r="V52" s="12">
        <f t="shared" si="53"/>
        <v>0</v>
      </c>
      <c r="W52" s="12">
        <f t="shared" si="53"/>
        <v>0</v>
      </c>
    </row>
    <row r="53" spans="1:23">
      <c r="A53" s="119" t="s">
        <v>67</v>
      </c>
      <c r="B53" s="120" t="s">
        <v>104</v>
      </c>
      <c r="C53" s="116" t="s">
        <v>59</v>
      </c>
      <c r="D53" s="121">
        <v>0</v>
      </c>
      <c r="E53" s="122">
        <v>0</v>
      </c>
      <c r="F53" s="121">
        <v>0</v>
      </c>
      <c r="G53" s="12">
        <f t="shared" si="52"/>
        <v>0</v>
      </c>
      <c r="H53" s="12">
        <f t="shared" si="53"/>
        <v>0</v>
      </c>
      <c r="I53" s="12">
        <f t="shared" si="53"/>
        <v>0</v>
      </c>
      <c r="J53" s="12">
        <f t="shared" si="53"/>
        <v>0</v>
      </c>
      <c r="K53" s="12">
        <f t="shared" si="53"/>
        <v>0</v>
      </c>
      <c r="L53" s="12">
        <f t="shared" si="53"/>
        <v>0</v>
      </c>
      <c r="M53" s="12">
        <f t="shared" si="53"/>
        <v>0</v>
      </c>
      <c r="N53" s="12">
        <f t="shared" si="53"/>
        <v>0</v>
      </c>
      <c r="O53" s="12">
        <f t="shared" si="53"/>
        <v>0</v>
      </c>
      <c r="P53" s="12">
        <f t="shared" si="53"/>
        <v>0</v>
      </c>
      <c r="Q53" s="12">
        <f t="shared" si="53"/>
        <v>0</v>
      </c>
      <c r="R53" s="12">
        <f t="shared" si="53"/>
        <v>0</v>
      </c>
      <c r="S53" s="12">
        <f t="shared" si="53"/>
        <v>0</v>
      </c>
      <c r="T53" s="12">
        <f t="shared" si="53"/>
        <v>0</v>
      </c>
      <c r="U53" s="12">
        <f t="shared" si="53"/>
        <v>0</v>
      </c>
      <c r="V53" s="12">
        <f t="shared" si="53"/>
        <v>0</v>
      </c>
      <c r="W53" s="12">
        <f t="shared" si="53"/>
        <v>0</v>
      </c>
    </row>
    <row r="54" spans="1:23">
      <c r="A54" s="119" t="s">
        <v>77</v>
      </c>
      <c r="B54" s="120" t="s">
        <v>105</v>
      </c>
      <c r="C54" s="116" t="s">
        <v>59</v>
      </c>
      <c r="D54" s="121">
        <v>0</v>
      </c>
      <c r="E54" s="122">
        <v>0</v>
      </c>
      <c r="F54" s="121">
        <v>0</v>
      </c>
      <c r="G54" s="12">
        <f t="shared" si="52"/>
        <v>0</v>
      </c>
      <c r="H54" s="12">
        <f t="shared" si="53"/>
        <v>0</v>
      </c>
      <c r="I54" s="12">
        <f t="shared" si="53"/>
        <v>0</v>
      </c>
      <c r="J54" s="12">
        <f t="shared" si="53"/>
        <v>0</v>
      </c>
      <c r="K54" s="12">
        <f t="shared" si="53"/>
        <v>0</v>
      </c>
      <c r="L54" s="12">
        <f t="shared" si="53"/>
        <v>0</v>
      </c>
      <c r="M54" s="12">
        <f t="shared" si="53"/>
        <v>0</v>
      </c>
      <c r="N54" s="12">
        <f t="shared" si="53"/>
        <v>0</v>
      </c>
      <c r="O54" s="12">
        <f t="shared" si="53"/>
        <v>0</v>
      </c>
      <c r="P54" s="12">
        <f t="shared" si="53"/>
        <v>0</v>
      </c>
      <c r="Q54" s="12">
        <f t="shared" si="53"/>
        <v>0</v>
      </c>
      <c r="R54" s="12">
        <f t="shared" si="53"/>
        <v>0</v>
      </c>
      <c r="S54" s="12">
        <f t="shared" si="53"/>
        <v>0</v>
      </c>
      <c r="T54" s="12">
        <f t="shared" si="53"/>
        <v>0</v>
      </c>
      <c r="U54" s="12">
        <f t="shared" si="53"/>
        <v>0</v>
      </c>
      <c r="V54" s="12">
        <f t="shared" si="53"/>
        <v>0</v>
      </c>
      <c r="W54" s="12">
        <f t="shared" si="53"/>
        <v>0</v>
      </c>
    </row>
    <row r="55" spans="1:23">
      <c r="A55" s="114" t="s">
        <v>106</v>
      </c>
      <c r="B55" s="124" t="s">
        <v>107</v>
      </c>
      <c r="C55" s="116" t="s">
        <v>59</v>
      </c>
      <c r="D55" s="117">
        <f>SUM(D56:D60)</f>
        <v>23.76</v>
      </c>
      <c r="E55" s="118">
        <f>SUM(E56:E60)</f>
        <v>8</v>
      </c>
      <c r="F55" s="117">
        <f>SUM(F56:F60)</f>
        <v>2000</v>
      </c>
      <c r="G55" s="166">
        <f>SUM(G56:G60)</f>
        <v>8.4</v>
      </c>
      <c r="H55" s="166">
        <f>SUM(H56:H60)</f>
        <v>8.82</v>
      </c>
      <c r="I55" s="166">
        <f t="shared" ref="I55:W55" si="54">SUM(I56:I60)</f>
        <v>9.261000000000001</v>
      </c>
      <c r="J55" s="166">
        <f t="shared" si="54"/>
        <v>9.7240500000000019</v>
      </c>
      <c r="K55" s="166">
        <f t="shared" si="54"/>
        <v>10.210252500000003</v>
      </c>
      <c r="L55" s="166">
        <f t="shared" si="54"/>
        <v>10.720765125000003</v>
      </c>
      <c r="M55" s="166">
        <f t="shared" si="54"/>
        <v>11.256803381250004</v>
      </c>
      <c r="N55" s="166">
        <f t="shared" si="54"/>
        <v>11.819643550312504</v>
      </c>
      <c r="O55" s="166">
        <f t="shared" si="54"/>
        <v>12.41062572782813</v>
      </c>
      <c r="P55" s="166">
        <f t="shared" si="54"/>
        <v>13.031157014219536</v>
      </c>
      <c r="Q55" s="166">
        <f t="shared" si="54"/>
        <v>13.682714864930514</v>
      </c>
      <c r="R55" s="166">
        <f t="shared" si="54"/>
        <v>14.366850608177039</v>
      </c>
      <c r="S55" s="166">
        <f t="shared" si="54"/>
        <v>15.085193138585892</v>
      </c>
      <c r="T55" s="166">
        <f t="shared" si="54"/>
        <v>15.839452795515186</v>
      </c>
      <c r="U55" s="166">
        <f t="shared" si="54"/>
        <v>16.631425435290947</v>
      </c>
      <c r="V55" s="166">
        <f t="shared" si="54"/>
        <v>17.462996707055495</v>
      </c>
      <c r="W55" s="166">
        <f t="shared" si="54"/>
        <v>18.336146542408269</v>
      </c>
    </row>
    <row r="56" spans="1:23">
      <c r="A56" s="119" t="s">
        <v>61</v>
      </c>
      <c r="B56" s="120" t="s">
        <v>102</v>
      </c>
      <c r="C56" s="116" t="s">
        <v>59</v>
      </c>
      <c r="D56" s="121">
        <v>23.76</v>
      </c>
      <c r="E56" s="122">
        <v>8</v>
      </c>
      <c r="F56" s="121">
        <v>2000</v>
      </c>
      <c r="G56" s="12">
        <f>E56+E56*0.05</f>
        <v>8.4</v>
      </c>
      <c r="H56" s="12">
        <f>G56+G56*0.05</f>
        <v>8.82</v>
      </c>
      <c r="I56" s="12">
        <f t="shared" ref="I56:W56" si="55">H56+H56*0.05</f>
        <v>9.261000000000001</v>
      </c>
      <c r="J56" s="12">
        <f t="shared" si="55"/>
        <v>9.7240500000000019</v>
      </c>
      <c r="K56" s="12">
        <f t="shared" si="55"/>
        <v>10.210252500000003</v>
      </c>
      <c r="L56" s="12">
        <f t="shared" si="55"/>
        <v>10.720765125000003</v>
      </c>
      <c r="M56" s="12">
        <f t="shared" si="55"/>
        <v>11.256803381250004</v>
      </c>
      <c r="N56" s="12">
        <f t="shared" si="55"/>
        <v>11.819643550312504</v>
      </c>
      <c r="O56" s="12">
        <f t="shared" si="55"/>
        <v>12.41062572782813</v>
      </c>
      <c r="P56" s="12">
        <f t="shared" si="55"/>
        <v>13.031157014219536</v>
      </c>
      <c r="Q56" s="12">
        <f t="shared" si="55"/>
        <v>13.682714864930514</v>
      </c>
      <c r="R56" s="12">
        <f t="shared" si="55"/>
        <v>14.366850608177039</v>
      </c>
      <c r="S56" s="12">
        <f t="shared" si="55"/>
        <v>15.085193138585892</v>
      </c>
      <c r="T56" s="12">
        <f t="shared" si="55"/>
        <v>15.839452795515186</v>
      </c>
      <c r="U56" s="12">
        <f t="shared" si="55"/>
        <v>16.631425435290947</v>
      </c>
      <c r="V56" s="12">
        <f t="shared" si="55"/>
        <v>17.462996707055495</v>
      </c>
      <c r="W56" s="12">
        <f t="shared" si="55"/>
        <v>18.336146542408269</v>
      </c>
    </row>
    <row r="57" spans="1:23">
      <c r="A57" s="119"/>
      <c r="B57" s="120" t="s">
        <v>108</v>
      </c>
      <c r="C57" s="116" t="s">
        <v>59</v>
      </c>
      <c r="D57" s="121">
        <v>0</v>
      </c>
      <c r="E57" s="122">
        <v>0</v>
      </c>
      <c r="F57" s="121">
        <v>0</v>
      </c>
      <c r="G57" s="12">
        <f t="shared" ref="G57:G60" si="56">E57+E57*0.05</f>
        <v>0</v>
      </c>
      <c r="H57" s="12">
        <f t="shared" ref="H57:W60" si="57">G57+G57*0.05</f>
        <v>0</v>
      </c>
      <c r="I57" s="12">
        <f t="shared" si="57"/>
        <v>0</v>
      </c>
      <c r="J57" s="12">
        <f t="shared" si="57"/>
        <v>0</v>
      </c>
      <c r="K57" s="12">
        <f t="shared" si="57"/>
        <v>0</v>
      </c>
      <c r="L57" s="12">
        <f t="shared" si="57"/>
        <v>0</v>
      </c>
      <c r="M57" s="12">
        <f t="shared" si="57"/>
        <v>0</v>
      </c>
      <c r="N57" s="12">
        <f t="shared" si="57"/>
        <v>0</v>
      </c>
      <c r="O57" s="12">
        <f t="shared" si="57"/>
        <v>0</v>
      </c>
      <c r="P57" s="12">
        <f t="shared" si="57"/>
        <v>0</v>
      </c>
      <c r="Q57" s="12">
        <f t="shared" si="57"/>
        <v>0</v>
      </c>
      <c r="R57" s="12">
        <f t="shared" si="57"/>
        <v>0</v>
      </c>
      <c r="S57" s="12">
        <f t="shared" si="57"/>
        <v>0</v>
      </c>
      <c r="T57" s="12">
        <f t="shared" si="57"/>
        <v>0</v>
      </c>
      <c r="U57" s="12">
        <f t="shared" si="57"/>
        <v>0</v>
      </c>
      <c r="V57" s="12">
        <f t="shared" si="57"/>
        <v>0</v>
      </c>
      <c r="W57" s="12">
        <f t="shared" si="57"/>
        <v>0</v>
      </c>
    </row>
    <row r="58" spans="1:23">
      <c r="A58" s="119" t="s">
        <v>63</v>
      </c>
      <c r="B58" s="120" t="s">
        <v>109</v>
      </c>
      <c r="C58" s="116" t="s">
        <v>59</v>
      </c>
      <c r="D58" s="121">
        <v>0</v>
      </c>
      <c r="E58" s="122">
        <v>0</v>
      </c>
      <c r="F58" s="121">
        <v>0</v>
      </c>
      <c r="G58" s="12">
        <f t="shared" si="56"/>
        <v>0</v>
      </c>
      <c r="H58" s="12">
        <f t="shared" si="57"/>
        <v>0</v>
      </c>
      <c r="I58" s="12">
        <f t="shared" si="57"/>
        <v>0</v>
      </c>
      <c r="J58" s="12">
        <f t="shared" si="57"/>
        <v>0</v>
      </c>
      <c r="K58" s="12">
        <f t="shared" si="57"/>
        <v>0</v>
      </c>
      <c r="L58" s="12">
        <f t="shared" si="57"/>
        <v>0</v>
      </c>
      <c r="M58" s="12">
        <f t="shared" si="57"/>
        <v>0</v>
      </c>
      <c r="N58" s="12">
        <f t="shared" si="57"/>
        <v>0</v>
      </c>
      <c r="O58" s="12">
        <f t="shared" si="57"/>
        <v>0</v>
      </c>
      <c r="P58" s="12">
        <f t="shared" si="57"/>
        <v>0</v>
      </c>
      <c r="Q58" s="12">
        <f t="shared" si="57"/>
        <v>0</v>
      </c>
      <c r="R58" s="12">
        <f t="shared" si="57"/>
        <v>0</v>
      </c>
      <c r="S58" s="12">
        <f t="shared" si="57"/>
        <v>0</v>
      </c>
      <c r="T58" s="12">
        <f t="shared" si="57"/>
        <v>0</v>
      </c>
      <c r="U58" s="12">
        <f t="shared" si="57"/>
        <v>0</v>
      </c>
      <c r="V58" s="12">
        <f t="shared" si="57"/>
        <v>0</v>
      </c>
      <c r="W58" s="12">
        <f t="shared" si="57"/>
        <v>0</v>
      </c>
    </row>
    <row r="59" spans="1:23">
      <c r="A59" s="119" t="s">
        <v>65</v>
      </c>
      <c r="B59" s="120" t="s">
        <v>104</v>
      </c>
      <c r="C59" s="116" t="s">
        <v>59</v>
      </c>
      <c r="D59" s="121">
        <v>0</v>
      </c>
      <c r="E59" s="122">
        <v>0</v>
      </c>
      <c r="F59" s="121">
        <v>0</v>
      </c>
      <c r="G59" s="12">
        <f t="shared" si="56"/>
        <v>0</v>
      </c>
      <c r="H59" s="12">
        <f t="shared" si="57"/>
        <v>0</v>
      </c>
      <c r="I59" s="12">
        <f t="shared" si="57"/>
        <v>0</v>
      </c>
      <c r="J59" s="12">
        <f t="shared" si="57"/>
        <v>0</v>
      </c>
      <c r="K59" s="12">
        <f t="shared" si="57"/>
        <v>0</v>
      </c>
      <c r="L59" s="12">
        <f t="shared" si="57"/>
        <v>0</v>
      </c>
      <c r="M59" s="12">
        <f t="shared" si="57"/>
        <v>0</v>
      </c>
      <c r="N59" s="12">
        <f t="shared" si="57"/>
        <v>0</v>
      </c>
      <c r="O59" s="12">
        <f t="shared" si="57"/>
        <v>0</v>
      </c>
      <c r="P59" s="12">
        <f t="shared" si="57"/>
        <v>0</v>
      </c>
      <c r="Q59" s="12">
        <f t="shared" si="57"/>
        <v>0</v>
      </c>
      <c r="R59" s="12">
        <f t="shared" si="57"/>
        <v>0</v>
      </c>
      <c r="S59" s="12">
        <f t="shared" si="57"/>
        <v>0</v>
      </c>
      <c r="T59" s="12">
        <f t="shared" si="57"/>
        <v>0</v>
      </c>
      <c r="U59" s="12">
        <f t="shared" si="57"/>
        <v>0</v>
      </c>
      <c r="V59" s="12">
        <f t="shared" si="57"/>
        <v>0</v>
      </c>
      <c r="W59" s="12">
        <f t="shared" si="57"/>
        <v>0</v>
      </c>
    </row>
    <row r="60" spans="1:23">
      <c r="A60" s="119" t="s">
        <v>67</v>
      </c>
      <c r="B60" s="120" t="s">
        <v>105</v>
      </c>
      <c r="C60" s="116" t="s">
        <v>59</v>
      </c>
      <c r="D60" s="121">
        <v>0</v>
      </c>
      <c r="E60" s="122">
        <v>0</v>
      </c>
      <c r="F60" s="121">
        <v>0</v>
      </c>
      <c r="G60" s="12">
        <f t="shared" si="56"/>
        <v>0</v>
      </c>
      <c r="H60" s="12">
        <f t="shared" si="57"/>
        <v>0</v>
      </c>
      <c r="I60" s="12">
        <f t="shared" si="57"/>
        <v>0</v>
      </c>
      <c r="J60" s="12">
        <f t="shared" si="57"/>
        <v>0</v>
      </c>
      <c r="K60" s="12">
        <f t="shared" si="57"/>
        <v>0</v>
      </c>
      <c r="L60" s="12">
        <f t="shared" si="57"/>
        <v>0</v>
      </c>
      <c r="M60" s="12">
        <f t="shared" si="57"/>
        <v>0</v>
      </c>
      <c r="N60" s="12">
        <f t="shared" si="57"/>
        <v>0</v>
      </c>
      <c r="O60" s="12">
        <f t="shared" si="57"/>
        <v>0</v>
      </c>
      <c r="P60" s="12">
        <f t="shared" si="57"/>
        <v>0</v>
      </c>
      <c r="Q60" s="12">
        <f t="shared" si="57"/>
        <v>0</v>
      </c>
      <c r="R60" s="12">
        <f t="shared" si="57"/>
        <v>0</v>
      </c>
      <c r="S60" s="12">
        <f t="shared" si="57"/>
        <v>0</v>
      </c>
      <c r="T60" s="12">
        <f t="shared" si="57"/>
        <v>0</v>
      </c>
      <c r="U60" s="12">
        <f t="shared" si="57"/>
        <v>0</v>
      </c>
      <c r="V60" s="12">
        <f t="shared" si="57"/>
        <v>0</v>
      </c>
      <c r="W60" s="12">
        <f t="shared" si="57"/>
        <v>0</v>
      </c>
    </row>
    <row r="61" spans="1:23">
      <c r="A61" s="114" t="s">
        <v>61</v>
      </c>
      <c r="B61" s="115" t="s">
        <v>110</v>
      </c>
      <c r="C61" s="116" t="s">
        <v>59</v>
      </c>
      <c r="D61" s="117">
        <f>D46+D47-D55</f>
        <v>571602.84999999986</v>
      </c>
      <c r="E61" s="118">
        <f>E46+E47-E55</f>
        <v>519846.14999999979</v>
      </c>
      <c r="F61" s="117">
        <f>F46+F47-F55</f>
        <v>-740000</v>
      </c>
      <c r="G61" s="166">
        <f>G46+G47-G55</f>
        <v>602773.6674999994</v>
      </c>
      <c r="H61" s="166">
        <f>H46+H47-H55</f>
        <v>843564.45078230486</v>
      </c>
      <c r="I61" s="166">
        <f t="shared" ref="I61:W61" si="58">I46+I47-I55</f>
        <v>710645.93062535045</v>
      </c>
      <c r="J61" s="166">
        <f t="shared" si="58"/>
        <v>1041133.010919119</v>
      </c>
      <c r="K61" s="166">
        <f t="shared" si="58"/>
        <v>861847.77972757479</v>
      </c>
      <c r="L61" s="166">
        <f t="shared" si="58"/>
        <v>1185147.2132883284</v>
      </c>
      <c r="M61" s="166">
        <f t="shared" si="58"/>
        <v>1024629.786302119</v>
      </c>
      <c r="N61" s="166">
        <f t="shared" si="58"/>
        <v>1342057.967962882</v>
      </c>
      <c r="O61" s="166">
        <f t="shared" si="58"/>
        <v>1200374.8180929325</v>
      </c>
      <c r="P61" s="166">
        <f t="shared" si="58"/>
        <v>1513280.4167259522</v>
      </c>
      <c r="Q61" s="166">
        <f t="shared" si="58"/>
        <v>1390597.6917075578</v>
      </c>
      <c r="R61" s="166">
        <f t="shared" si="58"/>
        <v>1700370.0911348928</v>
      </c>
      <c r="S61" s="166">
        <f t="shared" si="58"/>
        <v>1596959.1871296826</v>
      </c>
      <c r="T61" s="166">
        <f t="shared" si="58"/>
        <v>1905037.5355860253</v>
      </c>
      <c r="U61" s="166">
        <f t="shared" si="58"/>
        <v>1821281.4742314685</v>
      </c>
      <c r="V61" s="166">
        <f t="shared" si="58"/>
        <v>2129164.4175879066</v>
      </c>
      <c r="W61" s="166">
        <f t="shared" si="58"/>
        <v>2065565.0972401379</v>
      </c>
    </row>
    <row r="62" spans="1:23">
      <c r="A62" s="114" t="s">
        <v>111</v>
      </c>
      <c r="B62" s="115" t="s">
        <v>112</v>
      </c>
      <c r="C62" s="116" t="s">
        <v>59</v>
      </c>
      <c r="D62" s="117">
        <f>SUM(D63:D64)</f>
        <v>0</v>
      </c>
      <c r="E62" s="118">
        <f>SUM(E63:E64)</f>
        <v>0</v>
      </c>
      <c r="F62" s="117">
        <f>SUM(F63:F64)</f>
        <v>0</v>
      </c>
      <c r="G62" s="166">
        <f>SUM(G63:G64)</f>
        <v>0</v>
      </c>
      <c r="H62" s="166">
        <f>SUM(H63:H64)</f>
        <v>0</v>
      </c>
      <c r="I62" s="166">
        <f t="shared" ref="I62:W62" si="59">SUM(I63:I64)</f>
        <v>0</v>
      </c>
      <c r="J62" s="166">
        <f t="shared" si="59"/>
        <v>0</v>
      </c>
      <c r="K62" s="166">
        <f t="shared" si="59"/>
        <v>0</v>
      </c>
      <c r="L62" s="166">
        <f t="shared" si="59"/>
        <v>0</v>
      </c>
      <c r="M62" s="166">
        <f t="shared" si="59"/>
        <v>0</v>
      </c>
      <c r="N62" s="166">
        <f t="shared" si="59"/>
        <v>0</v>
      </c>
      <c r="O62" s="166">
        <f t="shared" si="59"/>
        <v>0</v>
      </c>
      <c r="P62" s="166">
        <f t="shared" si="59"/>
        <v>0</v>
      </c>
      <c r="Q62" s="166">
        <f t="shared" si="59"/>
        <v>0</v>
      </c>
      <c r="R62" s="166">
        <f t="shared" si="59"/>
        <v>0</v>
      </c>
      <c r="S62" s="166">
        <f t="shared" si="59"/>
        <v>0</v>
      </c>
      <c r="T62" s="166">
        <f t="shared" si="59"/>
        <v>0</v>
      </c>
      <c r="U62" s="166">
        <f t="shared" si="59"/>
        <v>0</v>
      </c>
      <c r="V62" s="166">
        <f t="shared" si="59"/>
        <v>0</v>
      </c>
      <c r="W62" s="166">
        <f t="shared" si="59"/>
        <v>0</v>
      </c>
    </row>
    <row r="63" spans="1:23">
      <c r="A63" s="119" t="s">
        <v>61</v>
      </c>
      <c r="B63" s="120" t="s">
        <v>113</v>
      </c>
      <c r="C63" s="116" t="s">
        <v>59</v>
      </c>
      <c r="D63" s="121">
        <v>0</v>
      </c>
      <c r="E63" s="122">
        <v>0</v>
      </c>
      <c r="F63" s="121">
        <v>0</v>
      </c>
      <c r="G63" s="167">
        <v>0</v>
      </c>
      <c r="H63" s="167">
        <v>0</v>
      </c>
      <c r="I63" s="167">
        <v>0</v>
      </c>
      <c r="J63" s="167">
        <v>0</v>
      </c>
      <c r="K63" s="167">
        <v>0</v>
      </c>
      <c r="L63" s="167">
        <v>0</v>
      </c>
      <c r="M63" s="167">
        <v>0</v>
      </c>
      <c r="N63" s="167">
        <v>0</v>
      </c>
      <c r="O63" s="167">
        <v>0</v>
      </c>
      <c r="P63" s="167">
        <v>0</v>
      </c>
      <c r="Q63" s="167">
        <v>0</v>
      </c>
      <c r="R63" s="167">
        <v>0</v>
      </c>
      <c r="S63" s="167">
        <v>0</v>
      </c>
      <c r="T63" s="167">
        <v>0</v>
      </c>
      <c r="U63" s="167">
        <v>0</v>
      </c>
      <c r="V63" s="167">
        <v>0</v>
      </c>
      <c r="W63" s="167">
        <v>0</v>
      </c>
    </row>
    <row r="64" spans="1:23">
      <c r="A64" s="119" t="s">
        <v>63</v>
      </c>
      <c r="B64" s="120" t="s">
        <v>114</v>
      </c>
      <c r="C64" s="116" t="s">
        <v>59</v>
      </c>
      <c r="D64" s="121">
        <v>0</v>
      </c>
      <c r="E64" s="122">
        <v>0</v>
      </c>
      <c r="F64" s="121">
        <v>0</v>
      </c>
      <c r="G64" s="167">
        <v>0</v>
      </c>
      <c r="H64" s="167">
        <v>0</v>
      </c>
      <c r="I64" s="167">
        <v>0</v>
      </c>
      <c r="J64" s="167">
        <v>0</v>
      </c>
      <c r="K64" s="167">
        <v>0</v>
      </c>
      <c r="L64" s="167">
        <v>0</v>
      </c>
      <c r="M64" s="167">
        <v>0</v>
      </c>
      <c r="N64" s="167">
        <v>0</v>
      </c>
      <c r="O64" s="167">
        <v>0</v>
      </c>
      <c r="P64" s="167">
        <v>0</v>
      </c>
      <c r="Q64" s="167">
        <v>0</v>
      </c>
      <c r="R64" s="167">
        <v>0</v>
      </c>
      <c r="S64" s="167">
        <v>0</v>
      </c>
      <c r="T64" s="167">
        <v>0</v>
      </c>
      <c r="U64" s="167">
        <v>0</v>
      </c>
      <c r="V64" s="167">
        <v>0</v>
      </c>
      <c r="W64" s="167">
        <v>0</v>
      </c>
    </row>
    <row r="65" spans="1:23">
      <c r="A65" s="114" t="s">
        <v>115</v>
      </c>
      <c r="B65" s="124" t="s">
        <v>116</v>
      </c>
      <c r="C65" s="116" t="s">
        <v>59</v>
      </c>
      <c r="D65" s="117">
        <f>D61+D62</f>
        <v>571602.84999999986</v>
      </c>
      <c r="E65" s="118">
        <f>E61+E62</f>
        <v>519846.14999999979</v>
      </c>
      <c r="F65" s="117">
        <f>F61+F62</f>
        <v>-740000</v>
      </c>
      <c r="G65" s="166">
        <f>G61+G62</f>
        <v>602773.6674999994</v>
      </c>
      <c r="H65" s="166">
        <f>H61+H62</f>
        <v>843564.45078230486</v>
      </c>
      <c r="I65" s="166">
        <f t="shared" ref="I65:W65" si="60">I61+I62</f>
        <v>710645.93062535045</v>
      </c>
      <c r="J65" s="166">
        <f t="shared" si="60"/>
        <v>1041133.010919119</v>
      </c>
      <c r="K65" s="166">
        <f t="shared" si="60"/>
        <v>861847.77972757479</v>
      </c>
      <c r="L65" s="166">
        <f t="shared" si="60"/>
        <v>1185147.2132883284</v>
      </c>
      <c r="M65" s="166">
        <f t="shared" si="60"/>
        <v>1024629.786302119</v>
      </c>
      <c r="N65" s="166">
        <f t="shared" si="60"/>
        <v>1342057.967962882</v>
      </c>
      <c r="O65" s="166">
        <f t="shared" si="60"/>
        <v>1200374.8180929325</v>
      </c>
      <c r="P65" s="166">
        <f t="shared" si="60"/>
        <v>1513280.4167259522</v>
      </c>
      <c r="Q65" s="166">
        <f t="shared" si="60"/>
        <v>1390597.6917075578</v>
      </c>
      <c r="R65" s="166">
        <f t="shared" si="60"/>
        <v>1700370.0911348928</v>
      </c>
      <c r="S65" s="166">
        <f t="shared" si="60"/>
        <v>1596959.1871296826</v>
      </c>
      <c r="T65" s="166">
        <f t="shared" si="60"/>
        <v>1905037.5355860253</v>
      </c>
      <c r="U65" s="166">
        <f t="shared" si="60"/>
        <v>1821281.4742314685</v>
      </c>
      <c r="V65" s="166">
        <f t="shared" si="60"/>
        <v>2129164.4175879066</v>
      </c>
      <c r="W65" s="166">
        <f t="shared" si="60"/>
        <v>2065565.0972401379</v>
      </c>
    </row>
    <row r="66" spans="1:23">
      <c r="A66" s="114" t="s">
        <v>117</v>
      </c>
      <c r="B66" s="124" t="s">
        <v>118</v>
      </c>
      <c r="C66" s="116" t="s">
        <v>59</v>
      </c>
      <c r="D66" s="117">
        <v>128352</v>
      </c>
      <c r="E66" s="118">
        <v>116485</v>
      </c>
      <c r="F66" s="117">
        <v>0</v>
      </c>
      <c r="G66" s="165">
        <f>G65*0.19</f>
        <v>114526.99682499989</v>
      </c>
      <c r="H66" s="165">
        <f>H65*0.19</f>
        <v>160277.24564863794</v>
      </c>
      <c r="I66" s="165">
        <f t="shared" ref="I66:W66" si="61">I65*0.19</f>
        <v>135022.72681881659</v>
      </c>
      <c r="J66" s="165">
        <f t="shared" si="61"/>
        <v>197815.27207463261</v>
      </c>
      <c r="K66" s="165">
        <f t="shared" si="61"/>
        <v>163751.0781482392</v>
      </c>
      <c r="L66" s="165">
        <f t="shared" si="61"/>
        <v>225177.9705247824</v>
      </c>
      <c r="M66" s="165">
        <f t="shared" si="61"/>
        <v>194679.6593974026</v>
      </c>
      <c r="N66" s="165">
        <f t="shared" si="61"/>
        <v>254991.01391294759</v>
      </c>
      <c r="O66" s="165">
        <f t="shared" si="61"/>
        <v>228071.21543765717</v>
      </c>
      <c r="P66" s="165">
        <f t="shared" si="61"/>
        <v>287523.2791779309</v>
      </c>
      <c r="Q66" s="165">
        <f t="shared" si="61"/>
        <v>264213.56142443599</v>
      </c>
      <c r="R66" s="165">
        <f t="shared" si="61"/>
        <v>323070.31731562963</v>
      </c>
      <c r="S66" s="165">
        <f t="shared" si="61"/>
        <v>303422.24555463973</v>
      </c>
      <c r="T66" s="165">
        <f t="shared" si="61"/>
        <v>361957.13176134479</v>
      </c>
      <c r="U66" s="165">
        <f t="shared" si="61"/>
        <v>346043.480103979</v>
      </c>
      <c r="V66" s="165">
        <f t="shared" si="61"/>
        <v>404541.23934170225</v>
      </c>
      <c r="W66" s="165">
        <f t="shared" si="61"/>
        <v>392457.36847562622</v>
      </c>
    </row>
    <row r="67" spans="1:23">
      <c r="A67" s="114" t="s">
        <v>119</v>
      </c>
      <c r="B67" s="115" t="s">
        <v>120</v>
      </c>
      <c r="C67" s="116" t="s">
        <v>59</v>
      </c>
      <c r="D67" s="117">
        <v>0</v>
      </c>
      <c r="E67" s="118">
        <v>0</v>
      </c>
      <c r="F67" s="117">
        <v>0</v>
      </c>
      <c r="G67" s="117">
        <v>0</v>
      </c>
      <c r="H67" s="117">
        <v>1</v>
      </c>
      <c r="I67" s="117">
        <v>2</v>
      </c>
      <c r="J67" s="117">
        <v>3</v>
      </c>
      <c r="K67" s="117">
        <v>4</v>
      </c>
      <c r="L67" s="117">
        <v>5</v>
      </c>
      <c r="M67" s="117">
        <v>6</v>
      </c>
      <c r="N67" s="117">
        <v>7</v>
      </c>
      <c r="O67" s="117">
        <v>8</v>
      </c>
      <c r="P67" s="117">
        <v>9</v>
      </c>
      <c r="Q67" s="117">
        <v>10</v>
      </c>
      <c r="R67" s="117">
        <v>11</v>
      </c>
      <c r="S67" s="117">
        <v>12</v>
      </c>
      <c r="T67" s="117">
        <v>13</v>
      </c>
      <c r="U67" s="117">
        <v>14</v>
      </c>
      <c r="V67" s="117">
        <v>15</v>
      </c>
      <c r="W67" s="117">
        <v>16</v>
      </c>
    </row>
    <row r="68" spans="1:23">
      <c r="A68" s="114" t="s">
        <v>121</v>
      </c>
      <c r="B68" s="124" t="s">
        <v>122</v>
      </c>
      <c r="C68" s="116" t="s">
        <v>59</v>
      </c>
      <c r="D68" s="117">
        <f>D65-D66</f>
        <v>443250.84999999986</v>
      </c>
      <c r="E68" s="118">
        <f>E65-E66</f>
        <v>403361.14999999979</v>
      </c>
      <c r="F68" s="117">
        <f>F65-F66</f>
        <v>-740000</v>
      </c>
      <c r="G68" s="117">
        <f>G65-G66</f>
        <v>488246.67067499948</v>
      </c>
      <c r="H68" s="117">
        <f>H65-H66</f>
        <v>683287.20513366698</v>
      </c>
      <c r="I68" s="117">
        <f t="shared" ref="I68:W68" si="62">I65-I66</f>
        <v>575623.20380653383</v>
      </c>
      <c r="J68" s="117">
        <f t="shared" si="62"/>
        <v>843317.73884448642</v>
      </c>
      <c r="K68" s="117">
        <f t="shared" si="62"/>
        <v>698096.70157933561</v>
      </c>
      <c r="L68" s="117">
        <f t="shared" si="62"/>
        <v>959969.24276354595</v>
      </c>
      <c r="M68" s="117">
        <f t="shared" si="62"/>
        <v>829950.12690471648</v>
      </c>
      <c r="N68" s="117">
        <f t="shared" si="62"/>
        <v>1087066.9540499344</v>
      </c>
      <c r="O68" s="117">
        <f t="shared" si="62"/>
        <v>972303.60265527526</v>
      </c>
      <c r="P68" s="117">
        <f t="shared" si="62"/>
        <v>1225757.1375480213</v>
      </c>
      <c r="Q68" s="117">
        <f t="shared" si="62"/>
        <v>1126384.1302831217</v>
      </c>
      <c r="R68" s="117">
        <f t="shared" si="62"/>
        <v>1377299.7738192631</v>
      </c>
      <c r="S68" s="117">
        <f t="shared" si="62"/>
        <v>1293536.9415750429</v>
      </c>
      <c r="T68" s="117">
        <f t="shared" si="62"/>
        <v>1543080.4038246805</v>
      </c>
      <c r="U68" s="117">
        <f t="shared" si="62"/>
        <v>1475237.9941274896</v>
      </c>
      <c r="V68" s="117">
        <f t="shared" si="62"/>
        <v>1724623.1782462043</v>
      </c>
      <c r="W68" s="117">
        <f t="shared" si="62"/>
        <v>1673107.7287645116</v>
      </c>
    </row>
    <row r="69" spans="1:23"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</row>
    <row r="70" spans="1:23"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</row>
    <row r="71" spans="1:23">
      <c r="B71" s="161" t="s">
        <v>198</v>
      </c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</row>
    <row r="72" spans="1:23">
      <c r="A72" s="210" t="s">
        <v>126</v>
      </c>
      <c r="B72" s="211"/>
      <c r="C72" s="211"/>
      <c r="D72" s="211"/>
      <c r="E72" s="211"/>
      <c r="F72" s="212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</row>
    <row r="73" spans="1:23">
      <c r="A73" s="125" t="s">
        <v>54</v>
      </c>
      <c r="B73" s="125" t="s">
        <v>55</v>
      </c>
      <c r="C73" s="126" t="s">
        <v>56</v>
      </c>
      <c r="D73" s="110">
        <v>2012</v>
      </c>
      <c r="E73" s="112">
        <v>2013</v>
      </c>
      <c r="F73" s="265" t="s">
        <v>125</v>
      </c>
      <c r="G73" s="108"/>
      <c r="H73" s="269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69"/>
      <c r="U73" s="269"/>
      <c r="V73" s="269"/>
      <c r="W73" s="269"/>
    </row>
    <row r="74" spans="1:23">
      <c r="A74" s="129" t="s">
        <v>57</v>
      </c>
      <c r="B74" s="130" t="s">
        <v>127</v>
      </c>
      <c r="C74" s="131" t="s">
        <v>59</v>
      </c>
      <c r="D74" s="132">
        <f>D75+D76+D85+D86+D87</f>
        <v>2723169.2199999997</v>
      </c>
      <c r="E74" s="132">
        <f>E75+E76+E85+E86+E87</f>
        <v>2384671.21</v>
      </c>
      <c r="F74" s="143">
        <f>F75+F76+F85+F86+F87</f>
        <v>1836920.2400000002</v>
      </c>
      <c r="G74" s="270"/>
      <c r="H74" s="270"/>
      <c r="I74" s="270"/>
      <c r="J74" s="270"/>
      <c r="K74" s="270"/>
      <c r="L74" s="270"/>
      <c r="M74" s="270"/>
      <c r="N74" s="270"/>
      <c r="O74" s="270"/>
      <c r="P74" s="270"/>
      <c r="Q74" s="270"/>
      <c r="R74" s="270"/>
      <c r="S74" s="270"/>
      <c r="T74" s="270"/>
      <c r="U74" s="270"/>
      <c r="V74" s="270"/>
      <c r="W74" s="270"/>
    </row>
    <row r="75" spans="1:23">
      <c r="A75" s="133" t="s">
        <v>61</v>
      </c>
      <c r="B75" s="134" t="s">
        <v>128</v>
      </c>
      <c r="C75" s="131" t="s">
        <v>59</v>
      </c>
      <c r="D75" s="135">
        <v>0</v>
      </c>
      <c r="E75" s="135">
        <v>0</v>
      </c>
      <c r="F75" s="136">
        <v>0</v>
      </c>
      <c r="G75" s="270"/>
      <c r="H75" s="270"/>
      <c r="I75" s="270"/>
      <c r="J75" s="270"/>
      <c r="K75" s="270"/>
      <c r="L75" s="270"/>
      <c r="M75" s="270"/>
      <c r="N75" s="270"/>
      <c r="O75" s="270"/>
      <c r="P75" s="270"/>
      <c r="Q75" s="270"/>
      <c r="R75" s="270"/>
      <c r="S75" s="270"/>
      <c r="T75" s="270"/>
      <c r="U75" s="270"/>
      <c r="V75" s="270"/>
      <c r="W75" s="270"/>
    </row>
    <row r="76" spans="1:23">
      <c r="A76" s="133" t="s">
        <v>63</v>
      </c>
      <c r="B76" s="134" t="s">
        <v>129</v>
      </c>
      <c r="C76" s="131" t="s">
        <v>59</v>
      </c>
      <c r="D76" s="135">
        <f>D77+D83+D84</f>
        <v>2695169.2199999997</v>
      </c>
      <c r="E76" s="135">
        <f>E77+E83+E84</f>
        <v>2368671.21</v>
      </c>
      <c r="F76" s="136">
        <f>F77+F83+F84</f>
        <v>1826920.2400000002</v>
      </c>
      <c r="G76" s="270"/>
      <c r="H76" s="270"/>
      <c r="I76" s="270"/>
      <c r="J76" s="270"/>
      <c r="K76" s="270"/>
      <c r="L76" s="270"/>
      <c r="M76" s="270"/>
      <c r="N76" s="270"/>
      <c r="O76" s="270"/>
      <c r="P76" s="270"/>
      <c r="Q76" s="270"/>
      <c r="R76" s="270"/>
      <c r="S76" s="270"/>
      <c r="T76" s="270"/>
      <c r="U76" s="270"/>
      <c r="V76" s="270"/>
      <c r="W76" s="270"/>
    </row>
    <row r="77" spans="1:23">
      <c r="A77" s="133" t="s">
        <v>130</v>
      </c>
      <c r="B77" s="134" t="s">
        <v>131</v>
      </c>
      <c r="C77" s="131" t="s">
        <v>59</v>
      </c>
      <c r="D77" s="135">
        <f>SUM(D78:D82)</f>
        <v>2496532.0699999998</v>
      </c>
      <c r="E77" s="135">
        <f>SUM(E78:E82)</f>
        <v>2368671.21</v>
      </c>
      <c r="F77" s="136">
        <f>SUM(F78:F82)</f>
        <v>1826920.2400000002</v>
      </c>
      <c r="G77" s="270"/>
      <c r="H77" s="270"/>
      <c r="I77" s="270"/>
      <c r="J77" s="270"/>
      <c r="K77" s="270"/>
      <c r="L77" s="270"/>
      <c r="M77" s="270"/>
      <c r="N77" s="270"/>
      <c r="O77" s="270"/>
      <c r="P77" s="270"/>
      <c r="Q77" s="270"/>
      <c r="R77" s="270"/>
      <c r="S77" s="270"/>
      <c r="T77" s="270"/>
      <c r="U77" s="270"/>
      <c r="V77" s="270"/>
      <c r="W77" s="270"/>
    </row>
    <row r="78" spans="1:23">
      <c r="A78" s="133"/>
      <c r="B78" s="134" t="s">
        <v>132</v>
      </c>
      <c r="C78" s="131" t="s">
        <v>59</v>
      </c>
      <c r="D78" s="135">
        <v>133222.76999999999</v>
      </c>
      <c r="E78" s="135">
        <v>133222.76999999999</v>
      </c>
      <c r="F78" s="136">
        <v>133222.76999999999</v>
      </c>
      <c r="G78" s="270"/>
      <c r="H78" s="270"/>
      <c r="I78" s="270"/>
      <c r="J78" s="270"/>
      <c r="K78" s="270"/>
      <c r="L78" s="270"/>
      <c r="M78" s="270"/>
      <c r="N78" s="270"/>
      <c r="O78" s="270"/>
      <c r="P78" s="270"/>
      <c r="Q78" s="270"/>
      <c r="R78" s="270"/>
      <c r="S78" s="270"/>
      <c r="T78" s="270"/>
      <c r="U78" s="270"/>
      <c r="V78" s="270"/>
      <c r="W78" s="270"/>
    </row>
    <row r="79" spans="1:23">
      <c r="A79" s="133"/>
      <c r="B79" s="134" t="s">
        <v>133</v>
      </c>
      <c r="C79" s="131" t="s">
        <v>59</v>
      </c>
      <c r="D79" s="135">
        <v>625171.52</v>
      </c>
      <c r="E79" s="136">
        <v>650993.78</v>
      </c>
      <c r="F79" s="136">
        <v>554603.66</v>
      </c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270"/>
      <c r="R79" s="270"/>
      <c r="S79" s="270"/>
      <c r="T79" s="270"/>
      <c r="U79" s="270"/>
      <c r="V79" s="270"/>
      <c r="W79" s="270"/>
    </row>
    <row r="80" spans="1:23">
      <c r="A80" s="133"/>
      <c r="B80" s="134" t="s">
        <v>134</v>
      </c>
      <c r="C80" s="131" t="s">
        <v>59</v>
      </c>
      <c r="D80" s="135">
        <v>724919.8</v>
      </c>
      <c r="E80" s="136">
        <v>645815.56000000006</v>
      </c>
      <c r="F80" s="136">
        <v>322169.27</v>
      </c>
      <c r="G80" s="270"/>
      <c r="H80" s="270"/>
      <c r="I80" s="270"/>
      <c r="J80" s="270"/>
      <c r="K80" s="270"/>
      <c r="L80" s="270"/>
      <c r="M80" s="270"/>
      <c r="N80" s="270"/>
      <c r="O80" s="270"/>
      <c r="P80" s="270"/>
      <c r="Q80" s="270"/>
      <c r="R80" s="270"/>
      <c r="S80" s="270"/>
      <c r="T80" s="270"/>
      <c r="U80" s="270"/>
      <c r="V80" s="270"/>
      <c r="W80" s="270"/>
    </row>
    <row r="81" spans="1:23">
      <c r="A81" s="133"/>
      <c r="B81" s="134" t="s">
        <v>135</v>
      </c>
      <c r="C81" s="131" t="s">
        <v>59</v>
      </c>
      <c r="D81" s="135">
        <v>983958.45</v>
      </c>
      <c r="E81" s="136">
        <v>912962.37</v>
      </c>
      <c r="F81" s="136">
        <v>793039.23</v>
      </c>
      <c r="G81" s="270"/>
      <c r="H81" s="270"/>
      <c r="I81" s="270"/>
      <c r="J81" s="270"/>
      <c r="K81" s="270"/>
      <c r="L81" s="270"/>
      <c r="M81" s="270"/>
      <c r="N81" s="270"/>
      <c r="O81" s="270"/>
      <c r="P81" s="270"/>
      <c r="Q81" s="270"/>
      <c r="R81" s="270"/>
      <c r="S81" s="270"/>
      <c r="T81" s="270"/>
      <c r="U81" s="270"/>
      <c r="V81" s="270"/>
      <c r="W81" s="270"/>
    </row>
    <row r="82" spans="1:23">
      <c r="A82" s="133"/>
      <c r="B82" s="134" t="s">
        <v>136</v>
      </c>
      <c r="C82" s="131" t="s">
        <v>59</v>
      </c>
      <c r="D82" s="135">
        <v>29259.53</v>
      </c>
      <c r="E82" s="136">
        <v>25676.73</v>
      </c>
      <c r="F82" s="136">
        <v>23885.31</v>
      </c>
      <c r="G82" s="270"/>
      <c r="H82" s="270"/>
      <c r="I82" s="270"/>
      <c r="J82" s="270"/>
      <c r="K82" s="270"/>
      <c r="L82" s="270"/>
      <c r="M82" s="270"/>
      <c r="N82" s="270"/>
      <c r="O82" s="270"/>
      <c r="P82" s="270"/>
      <c r="Q82" s="270"/>
      <c r="R82" s="270"/>
      <c r="S82" s="270"/>
      <c r="T82" s="270"/>
      <c r="U82" s="270"/>
      <c r="V82" s="270"/>
      <c r="W82" s="270"/>
    </row>
    <row r="83" spans="1:23">
      <c r="A83" s="133" t="s">
        <v>137</v>
      </c>
      <c r="B83" s="134" t="s">
        <v>138</v>
      </c>
      <c r="C83" s="131" t="s">
        <v>59</v>
      </c>
      <c r="D83" s="135">
        <v>198637.15</v>
      </c>
      <c r="E83" s="136">
        <v>0</v>
      </c>
      <c r="F83" s="136">
        <v>0</v>
      </c>
      <c r="G83" s="270"/>
      <c r="H83" s="270"/>
      <c r="I83" s="270"/>
      <c r="J83" s="270"/>
      <c r="K83" s="270"/>
      <c r="L83" s="270"/>
      <c r="M83" s="270"/>
      <c r="N83" s="270"/>
      <c r="O83" s="270"/>
      <c r="P83" s="270"/>
      <c r="Q83" s="270"/>
      <c r="R83" s="270"/>
      <c r="S83" s="270"/>
      <c r="T83" s="270"/>
      <c r="U83" s="270"/>
      <c r="V83" s="270"/>
      <c r="W83" s="270"/>
    </row>
    <row r="84" spans="1:23">
      <c r="A84" s="133" t="s">
        <v>139</v>
      </c>
      <c r="B84" s="134" t="s">
        <v>140</v>
      </c>
      <c r="C84" s="131" t="s">
        <v>59</v>
      </c>
      <c r="D84" s="135">
        <v>0</v>
      </c>
      <c r="E84" s="136">
        <v>0</v>
      </c>
      <c r="F84" s="136">
        <v>0</v>
      </c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0"/>
      <c r="W84" s="270"/>
    </row>
    <row r="85" spans="1:23">
      <c r="A85" s="133" t="s">
        <v>65</v>
      </c>
      <c r="B85" s="134" t="s">
        <v>141</v>
      </c>
      <c r="C85" s="131" t="s">
        <v>59</v>
      </c>
      <c r="D85" s="135">
        <v>0</v>
      </c>
      <c r="E85" s="135">
        <v>0</v>
      </c>
      <c r="F85" s="136">
        <v>0</v>
      </c>
      <c r="G85" s="270"/>
      <c r="H85" s="270"/>
      <c r="I85" s="270"/>
      <c r="J85" s="270"/>
      <c r="K85" s="270"/>
      <c r="L85" s="270"/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</row>
    <row r="86" spans="1:23">
      <c r="A86" s="133" t="s">
        <v>67</v>
      </c>
      <c r="B86" s="134" t="s">
        <v>142</v>
      </c>
      <c r="C86" s="131" t="s">
        <v>59</v>
      </c>
      <c r="D86" s="135">
        <v>0</v>
      </c>
      <c r="E86" s="135">
        <v>0</v>
      </c>
      <c r="F86" s="136">
        <v>0</v>
      </c>
      <c r="G86" s="270"/>
      <c r="H86" s="270"/>
      <c r="I86" s="270"/>
      <c r="J86" s="270"/>
      <c r="K86" s="270"/>
      <c r="L86" s="270"/>
      <c r="M86" s="270"/>
      <c r="N86" s="270"/>
      <c r="O86" s="270"/>
      <c r="P86" s="270"/>
      <c r="Q86" s="270"/>
      <c r="R86" s="270"/>
      <c r="S86" s="270"/>
      <c r="T86" s="270"/>
      <c r="U86" s="270"/>
      <c r="V86" s="270"/>
      <c r="W86" s="270"/>
    </row>
    <row r="87" spans="1:23">
      <c r="A87" s="133" t="s">
        <v>77</v>
      </c>
      <c r="B87" s="134" t="s">
        <v>143</v>
      </c>
      <c r="C87" s="131" t="s">
        <v>59</v>
      </c>
      <c r="D87" s="135">
        <v>28000</v>
      </c>
      <c r="E87" s="135">
        <v>16000</v>
      </c>
      <c r="F87" s="136">
        <v>10000</v>
      </c>
      <c r="G87" s="270"/>
      <c r="H87" s="270"/>
      <c r="I87" s="270"/>
      <c r="J87" s="270"/>
      <c r="K87" s="270"/>
      <c r="L87" s="270"/>
      <c r="M87" s="270"/>
      <c r="N87" s="270"/>
      <c r="O87" s="270"/>
      <c r="P87" s="270"/>
      <c r="Q87" s="270"/>
      <c r="R87" s="270"/>
      <c r="S87" s="270"/>
      <c r="T87" s="270"/>
      <c r="U87" s="270"/>
      <c r="V87" s="270"/>
      <c r="W87" s="270"/>
    </row>
    <row r="88" spans="1:23">
      <c r="A88" s="129" t="s">
        <v>69</v>
      </c>
      <c r="B88" s="130" t="s">
        <v>144</v>
      </c>
      <c r="C88" s="131" t="s">
        <v>59</v>
      </c>
      <c r="D88" s="132">
        <f>D89+D90+D91+D92</f>
        <v>1657893.0799999998</v>
      </c>
      <c r="E88" s="132">
        <f>E89+E90+E91+E92</f>
        <v>2526380.34</v>
      </c>
      <c r="F88" s="143">
        <f>F89+F90+F91+F92</f>
        <v>897477.28999999992</v>
      </c>
      <c r="G88" s="270"/>
      <c r="H88" s="270"/>
      <c r="I88" s="270"/>
      <c r="J88" s="270"/>
      <c r="K88" s="270"/>
      <c r="L88" s="270"/>
      <c r="M88" s="270"/>
      <c r="N88" s="270"/>
      <c r="O88" s="270"/>
      <c r="P88" s="270"/>
      <c r="Q88" s="270"/>
      <c r="R88" s="270"/>
      <c r="S88" s="270"/>
      <c r="T88" s="270"/>
      <c r="U88" s="270"/>
      <c r="V88" s="270"/>
      <c r="W88" s="270"/>
    </row>
    <row r="89" spans="1:23" ht="12.75" customHeight="1">
      <c r="A89" s="133" t="s">
        <v>61</v>
      </c>
      <c r="B89" s="137" t="s">
        <v>145</v>
      </c>
      <c r="C89" s="131" t="s">
        <v>59</v>
      </c>
      <c r="D89" s="135">
        <v>32085.11</v>
      </c>
      <c r="E89" s="135">
        <v>33256.79</v>
      </c>
      <c r="F89" s="136">
        <v>18290.580000000002</v>
      </c>
      <c r="G89" s="270"/>
      <c r="H89" s="270"/>
      <c r="I89" s="270"/>
      <c r="J89" s="270"/>
      <c r="K89" s="270"/>
      <c r="L89" s="270"/>
      <c r="M89" s="270"/>
      <c r="N89" s="270"/>
      <c r="O89" s="270"/>
      <c r="P89" s="270"/>
      <c r="Q89" s="270"/>
      <c r="R89" s="270"/>
      <c r="S89" s="270"/>
      <c r="T89" s="270"/>
      <c r="U89" s="270"/>
      <c r="V89" s="270"/>
      <c r="W89" s="270"/>
    </row>
    <row r="90" spans="1:23">
      <c r="A90" s="133" t="s">
        <v>63</v>
      </c>
      <c r="B90" s="137" t="s">
        <v>146</v>
      </c>
      <c r="C90" s="131" t="s">
        <v>59</v>
      </c>
      <c r="D90" s="135">
        <v>556279.46</v>
      </c>
      <c r="E90" s="136">
        <v>129320.59</v>
      </c>
      <c r="F90" s="136">
        <v>18995.87</v>
      </c>
      <c r="G90" s="270"/>
      <c r="H90" s="270"/>
      <c r="I90" s="270"/>
      <c r="J90" s="270"/>
      <c r="K90" s="270"/>
      <c r="L90" s="270"/>
      <c r="M90" s="270"/>
      <c r="N90" s="270"/>
      <c r="O90" s="270"/>
      <c r="P90" s="270"/>
      <c r="Q90" s="270"/>
      <c r="R90" s="270"/>
      <c r="S90" s="270"/>
      <c r="T90" s="270"/>
      <c r="U90" s="270"/>
      <c r="V90" s="270"/>
      <c r="W90" s="270"/>
    </row>
    <row r="91" spans="1:23">
      <c r="A91" s="133" t="s">
        <v>65</v>
      </c>
      <c r="B91" s="137" t="s">
        <v>147</v>
      </c>
      <c r="C91" s="131" t="s">
        <v>59</v>
      </c>
      <c r="D91" s="135">
        <v>1022221.35</v>
      </c>
      <c r="E91" s="136">
        <v>2324173.46</v>
      </c>
      <c r="F91" s="136">
        <v>822165.84</v>
      </c>
      <c r="G91" s="270"/>
      <c r="H91" s="270"/>
      <c r="I91" s="270"/>
      <c r="J91" s="270"/>
      <c r="K91" s="270"/>
      <c r="L91" s="270"/>
      <c r="M91" s="270"/>
      <c r="N91" s="270"/>
      <c r="O91" s="270"/>
      <c r="P91" s="270"/>
      <c r="Q91" s="270"/>
      <c r="R91" s="270"/>
      <c r="S91" s="270"/>
      <c r="T91" s="270"/>
      <c r="U91" s="270"/>
      <c r="V91" s="270"/>
      <c r="W91" s="270"/>
    </row>
    <row r="92" spans="1:23">
      <c r="A92" s="133" t="s">
        <v>67</v>
      </c>
      <c r="B92" s="137" t="s">
        <v>148</v>
      </c>
      <c r="C92" s="131" t="s">
        <v>59</v>
      </c>
      <c r="D92" s="138">
        <v>47307.16</v>
      </c>
      <c r="E92" s="139">
        <v>39629.5</v>
      </c>
      <c r="F92" s="139">
        <v>38025</v>
      </c>
      <c r="G92" s="270"/>
      <c r="H92" s="270"/>
      <c r="I92" s="270"/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</row>
    <row r="93" spans="1:23">
      <c r="A93" s="129"/>
      <c r="B93" s="129" t="s">
        <v>149</v>
      </c>
      <c r="C93" s="131" t="s">
        <v>59</v>
      </c>
      <c r="D93" s="132">
        <f>D74+D88</f>
        <v>4381062.3</v>
      </c>
      <c r="E93" s="132">
        <f>E74+E88</f>
        <v>4911051.55</v>
      </c>
      <c r="F93" s="143">
        <f>F74+F88</f>
        <v>2734397.5300000003</v>
      </c>
      <c r="G93" s="270"/>
      <c r="H93" s="270"/>
      <c r="I93" s="270"/>
      <c r="J93" s="270"/>
      <c r="K93" s="270"/>
      <c r="L93" s="270"/>
      <c r="M93" s="270"/>
      <c r="N93" s="270"/>
      <c r="O93" s="270"/>
      <c r="P93" s="270"/>
      <c r="Q93" s="270"/>
      <c r="R93" s="270"/>
      <c r="S93" s="270"/>
      <c r="T93" s="270"/>
      <c r="U93" s="270"/>
      <c r="V93" s="270"/>
      <c r="W93" s="270"/>
    </row>
    <row r="94" spans="1:23"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</row>
    <row r="95" spans="1:23">
      <c r="A95" s="210" t="s">
        <v>150</v>
      </c>
      <c r="B95" s="211"/>
      <c r="C95" s="211"/>
      <c r="D95" s="211"/>
      <c r="E95" s="211"/>
      <c r="F95" s="266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</row>
    <row r="96" spans="1:23">
      <c r="A96" s="140" t="s">
        <v>54</v>
      </c>
      <c r="B96" s="140" t="s">
        <v>55</v>
      </c>
      <c r="C96" s="141" t="s">
        <v>56</v>
      </c>
      <c r="D96" s="110">
        <v>2012</v>
      </c>
      <c r="E96" s="112">
        <v>2013</v>
      </c>
      <c r="F96" s="265" t="s">
        <v>125</v>
      </c>
      <c r="G96" s="108"/>
      <c r="H96" s="269"/>
      <c r="I96" s="269"/>
      <c r="J96" s="269"/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</row>
    <row r="97" spans="1:23">
      <c r="A97" s="129" t="s">
        <v>57</v>
      </c>
      <c r="B97" s="142" t="s">
        <v>151</v>
      </c>
      <c r="C97" s="131" t="s">
        <v>59</v>
      </c>
      <c r="D97" s="132">
        <f>SUM(D98:D106)</f>
        <v>3616880.11</v>
      </c>
      <c r="E97" s="143">
        <f>SUM(E98:E106)</f>
        <v>3836980.26</v>
      </c>
      <c r="F97" s="143">
        <f>SUM(F98:F106)</f>
        <v>2625401.6199999996</v>
      </c>
      <c r="G97" s="270"/>
      <c r="H97" s="270"/>
      <c r="I97" s="270"/>
      <c r="J97" s="270"/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</row>
    <row r="98" spans="1:23">
      <c r="A98" s="133" t="s">
        <v>61</v>
      </c>
      <c r="B98" s="144" t="s">
        <v>152</v>
      </c>
      <c r="C98" s="131" t="s">
        <v>59</v>
      </c>
      <c r="D98" s="135">
        <v>688100</v>
      </c>
      <c r="E98" s="136">
        <v>688100</v>
      </c>
      <c r="F98" s="136">
        <v>688100</v>
      </c>
      <c r="G98" s="270"/>
      <c r="H98" s="270"/>
      <c r="I98" s="270"/>
      <c r="J98" s="270"/>
      <c r="K98" s="270"/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  <c r="W98" s="270"/>
    </row>
    <row r="99" spans="1:23">
      <c r="A99" s="133" t="s">
        <v>63</v>
      </c>
      <c r="B99" s="144" t="s">
        <v>153</v>
      </c>
      <c r="C99" s="131" t="s">
        <v>59</v>
      </c>
      <c r="D99" s="135">
        <v>0</v>
      </c>
      <c r="E99" s="136">
        <v>0</v>
      </c>
      <c r="F99" s="136">
        <v>0</v>
      </c>
      <c r="G99" s="270"/>
      <c r="H99" s="270"/>
      <c r="I99" s="270"/>
      <c r="J99" s="270"/>
      <c r="K99" s="270"/>
      <c r="L99" s="270"/>
      <c r="M99" s="270"/>
      <c r="N99" s="270"/>
      <c r="O99" s="270"/>
      <c r="P99" s="270"/>
      <c r="Q99" s="270"/>
      <c r="R99" s="270"/>
      <c r="S99" s="270"/>
      <c r="T99" s="270"/>
      <c r="U99" s="270"/>
      <c r="V99" s="270"/>
      <c r="W99" s="270"/>
    </row>
    <row r="100" spans="1:23">
      <c r="A100" s="133" t="s">
        <v>65</v>
      </c>
      <c r="B100" s="144" t="s">
        <v>154</v>
      </c>
      <c r="C100" s="131" t="s">
        <v>59</v>
      </c>
      <c r="D100" s="135">
        <v>0</v>
      </c>
      <c r="E100" s="136">
        <v>0</v>
      </c>
      <c r="F100" s="136">
        <v>0</v>
      </c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270"/>
      <c r="S100" s="270"/>
      <c r="T100" s="270"/>
      <c r="U100" s="270"/>
      <c r="V100" s="270"/>
      <c r="W100" s="270"/>
    </row>
    <row r="101" spans="1:23">
      <c r="A101" s="133" t="s">
        <v>67</v>
      </c>
      <c r="B101" s="144" t="s">
        <v>155</v>
      </c>
      <c r="C101" s="131" t="s">
        <v>59</v>
      </c>
      <c r="D101" s="135">
        <v>99864.19</v>
      </c>
      <c r="E101" s="136">
        <v>121913.52</v>
      </c>
      <c r="F101" s="136">
        <v>121913.52</v>
      </c>
      <c r="G101" s="270"/>
      <c r="H101" s="270"/>
      <c r="I101" s="270"/>
      <c r="J101" s="270"/>
      <c r="K101" s="270"/>
      <c r="L101" s="270"/>
      <c r="M101" s="270"/>
      <c r="N101" s="270"/>
      <c r="O101" s="270"/>
      <c r="P101" s="270"/>
      <c r="Q101" s="270"/>
      <c r="R101" s="270"/>
      <c r="S101" s="270"/>
      <c r="T101" s="270"/>
      <c r="U101" s="270"/>
      <c r="V101" s="270"/>
      <c r="W101" s="270"/>
    </row>
    <row r="102" spans="1:23">
      <c r="A102" s="133" t="s">
        <v>77</v>
      </c>
      <c r="B102" s="144" t="s">
        <v>156</v>
      </c>
      <c r="C102" s="131" t="s">
        <v>59</v>
      </c>
      <c r="D102" s="135">
        <v>23995.75</v>
      </c>
      <c r="E102" s="136">
        <v>1946.42</v>
      </c>
      <c r="F102" s="136">
        <v>1946.42</v>
      </c>
      <c r="G102" s="270"/>
      <c r="H102" s="270"/>
      <c r="I102" s="270"/>
      <c r="J102" s="270"/>
      <c r="K102" s="270"/>
      <c r="L102" s="270"/>
      <c r="M102" s="270"/>
      <c r="N102" s="270"/>
      <c r="O102" s="270"/>
      <c r="P102" s="270"/>
      <c r="Q102" s="270"/>
      <c r="R102" s="270"/>
      <c r="S102" s="270"/>
      <c r="T102" s="270"/>
      <c r="U102" s="270"/>
      <c r="V102" s="270"/>
      <c r="W102" s="270"/>
    </row>
    <row r="103" spans="1:23">
      <c r="A103" s="133" t="s">
        <v>79</v>
      </c>
      <c r="B103" s="144" t="s">
        <v>157</v>
      </c>
      <c r="C103" s="131" t="s">
        <v>59</v>
      </c>
      <c r="D103" s="135">
        <v>2361669.3199999998</v>
      </c>
      <c r="E103" s="136">
        <v>2621659.17</v>
      </c>
      <c r="F103" s="136">
        <v>2553020.3199999998</v>
      </c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270"/>
      <c r="R103" s="270"/>
      <c r="S103" s="270"/>
      <c r="T103" s="270"/>
      <c r="U103" s="270"/>
      <c r="V103" s="270"/>
      <c r="W103" s="270"/>
    </row>
    <row r="104" spans="1:23">
      <c r="A104" s="133" t="s">
        <v>81</v>
      </c>
      <c r="B104" s="144" t="s">
        <v>158</v>
      </c>
      <c r="C104" s="131" t="s">
        <v>59</v>
      </c>
      <c r="D104" s="135">
        <v>0</v>
      </c>
      <c r="E104" s="136">
        <v>0</v>
      </c>
      <c r="F104" s="136">
        <v>0</v>
      </c>
      <c r="G104" s="270"/>
      <c r="H104" s="270"/>
      <c r="I104" s="270"/>
      <c r="J104" s="270"/>
      <c r="K104" s="270"/>
      <c r="L104" s="270"/>
      <c r="M104" s="270"/>
      <c r="N104" s="270"/>
      <c r="O104" s="270"/>
      <c r="P104" s="270"/>
      <c r="Q104" s="270"/>
      <c r="R104" s="270"/>
      <c r="S104" s="270"/>
      <c r="T104" s="270"/>
      <c r="U104" s="270"/>
      <c r="V104" s="270"/>
      <c r="W104" s="270"/>
    </row>
    <row r="105" spans="1:23">
      <c r="A105" s="133" t="s">
        <v>83</v>
      </c>
      <c r="B105" s="144" t="s">
        <v>159</v>
      </c>
      <c r="C105" s="131" t="s">
        <v>59</v>
      </c>
      <c r="D105" s="135">
        <v>443250.85</v>
      </c>
      <c r="E105" s="136">
        <v>403361.15</v>
      </c>
      <c r="F105" s="136">
        <v>-739578.64</v>
      </c>
      <c r="G105" s="270"/>
      <c r="H105" s="270"/>
      <c r="I105" s="270"/>
      <c r="J105" s="270"/>
      <c r="K105" s="270"/>
      <c r="L105" s="270"/>
      <c r="M105" s="270"/>
      <c r="N105" s="270"/>
      <c r="O105" s="270"/>
      <c r="P105" s="270"/>
      <c r="Q105" s="270"/>
      <c r="R105" s="270"/>
      <c r="S105" s="270"/>
      <c r="T105" s="270"/>
      <c r="U105" s="270"/>
      <c r="V105" s="270"/>
      <c r="W105" s="270"/>
    </row>
    <row r="106" spans="1:23">
      <c r="A106" s="133" t="s">
        <v>160</v>
      </c>
      <c r="B106" s="144" t="s">
        <v>161</v>
      </c>
      <c r="C106" s="131" t="s">
        <v>59</v>
      </c>
      <c r="D106" s="135">
        <v>0</v>
      </c>
      <c r="E106" s="136">
        <v>0</v>
      </c>
      <c r="F106" s="136">
        <v>0</v>
      </c>
      <c r="G106" s="270"/>
      <c r="H106" s="270"/>
      <c r="I106" s="270"/>
      <c r="J106" s="270"/>
      <c r="K106" s="270"/>
      <c r="L106" s="270"/>
      <c r="M106" s="270"/>
      <c r="N106" s="270"/>
      <c r="O106" s="270"/>
      <c r="P106" s="270"/>
      <c r="Q106" s="270"/>
      <c r="R106" s="270"/>
      <c r="S106" s="270"/>
      <c r="T106" s="270"/>
      <c r="U106" s="270"/>
      <c r="V106" s="270"/>
      <c r="W106" s="270"/>
    </row>
    <row r="107" spans="1:23">
      <c r="A107" s="129" t="s">
        <v>69</v>
      </c>
      <c r="B107" s="142" t="s">
        <v>162</v>
      </c>
      <c r="C107" s="131" t="s">
        <v>59</v>
      </c>
      <c r="D107" s="132">
        <f>D108+D109+D113+D124</f>
        <v>764182.19000000006</v>
      </c>
      <c r="E107" s="143">
        <f>E108+E109+E113+E124</f>
        <v>1074071.29</v>
      </c>
      <c r="F107" s="143">
        <f>F108+F109+F113+F124</f>
        <v>108995.91</v>
      </c>
      <c r="G107" s="270"/>
      <c r="H107" s="270"/>
      <c r="I107" s="270"/>
      <c r="J107" s="270"/>
      <c r="K107" s="270"/>
      <c r="L107" s="270"/>
      <c r="M107" s="270"/>
      <c r="N107" s="270"/>
      <c r="O107" s="270"/>
      <c r="P107" s="270"/>
      <c r="Q107" s="270"/>
      <c r="R107" s="270"/>
      <c r="S107" s="270"/>
      <c r="T107" s="270"/>
      <c r="U107" s="270"/>
      <c r="V107" s="270"/>
      <c r="W107" s="270"/>
    </row>
    <row r="108" spans="1:23">
      <c r="A108" s="133" t="s">
        <v>61</v>
      </c>
      <c r="B108" s="144" t="s">
        <v>163</v>
      </c>
      <c r="C108" s="131" t="s">
        <v>59</v>
      </c>
      <c r="D108" s="135">
        <v>0</v>
      </c>
      <c r="E108" s="136">
        <v>0</v>
      </c>
      <c r="F108" s="136">
        <v>0</v>
      </c>
      <c r="G108" s="270"/>
      <c r="H108" s="270"/>
      <c r="I108" s="270"/>
      <c r="J108" s="270"/>
      <c r="K108" s="270"/>
      <c r="L108" s="270"/>
      <c r="M108" s="270"/>
      <c r="N108" s="270"/>
      <c r="O108" s="270"/>
      <c r="P108" s="270"/>
      <c r="Q108" s="270"/>
      <c r="R108" s="270"/>
      <c r="S108" s="270"/>
      <c r="T108" s="270"/>
      <c r="U108" s="270"/>
      <c r="V108" s="270"/>
      <c r="W108" s="270"/>
    </row>
    <row r="109" spans="1:23">
      <c r="A109" s="133" t="s">
        <v>63</v>
      </c>
      <c r="B109" s="144" t="s">
        <v>164</v>
      </c>
      <c r="C109" s="131" t="s">
        <v>59</v>
      </c>
      <c r="D109" s="135">
        <f>D110+D111</f>
        <v>0</v>
      </c>
      <c r="E109" s="136">
        <v>0</v>
      </c>
      <c r="F109" s="136">
        <f>F110+F111</f>
        <v>0</v>
      </c>
      <c r="G109" s="270"/>
      <c r="H109" s="270"/>
      <c r="I109" s="270"/>
      <c r="J109" s="270"/>
      <c r="K109" s="270"/>
      <c r="L109" s="270"/>
      <c r="M109" s="270"/>
      <c r="N109" s="270"/>
      <c r="O109" s="270"/>
      <c r="P109" s="270"/>
      <c r="Q109" s="270"/>
      <c r="R109" s="270"/>
      <c r="S109" s="270"/>
      <c r="T109" s="270"/>
      <c r="U109" s="270"/>
      <c r="V109" s="270"/>
      <c r="W109" s="270"/>
    </row>
    <row r="110" spans="1:23">
      <c r="A110" s="133" t="s">
        <v>130</v>
      </c>
      <c r="B110" s="144" t="s">
        <v>165</v>
      </c>
      <c r="C110" s="131" t="s">
        <v>59</v>
      </c>
      <c r="D110" s="135">
        <v>0</v>
      </c>
      <c r="E110" s="136">
        <v>0</v>
      </c>
      <c r="F110" s="136">
        <v>0</v>
      </c>
      <c r="G110" s="270"/>
      <c r="H110" s="270"/>
      <c r="I110" s="270"/>
      <c r="J110" s="270"/>
      <c r="K110" s="270"/>
      <c r="L110" s="270"/>
      <c r="M110" s="270"/>
      <c r="N110" s="270"/>
      <c r="O110" s="270"/>
      <c r="P110" s="270"/>
      <c r="Q110" s="270"/>
      <c r="R110" s="270"/>
      <c r="S110" s="270"/>
      <c r="T110" s="270"/>
      <c r="U110" s="270"/>
      <c r="V110" s="270"/>
      <c r="W110" s="270"/>
    </row>
    <row r="111" spans="1:23">
      <c r="A111" s="133" t="s">
        <v>137</v>
      </c>
      <c r="B111" s="144" t="s">
        <v>166</v>
      </c>
      <c r="C111" s="131" t="s">
        <v>59</v>
      </c>
      <c r="D111" s="135">
        <f>D112</f>
        <v>0</v>
      </c>
      <c r="E111" s="136">
        <f>E112</f>
        <v>0</v>
      </c>
      <c r="F111" s="136">
        <v>0</v>
      </c>
      <c r="G111" s="270"/>
      <c r="H111" s="270"/>
      <c r="I111" s="270"/>
      <c r="J111" s="270"/>
      <c r="K111" s="270"/>
      <c r="L111" s="270"/>
      <c r="M111" s="270"/>
      <c r="N111" s="270"/>
      <c r="O111" s="270"/>
      <c r="P111" s="270"/>
      <c r="Q111" s="270"/>
      <c r="R111" s="270"/>
      <c r="S111" s="270"/>
      <c r="T111" s="270"/>
      <c r="U111" s="270"/>
      <c r="V111" s="270"/>
      <c r="W111" s="270"/>
    </row>
    <row r="112" spans="1:23">
      <c r="A112" s="133"/>
      <c r="B112" s="144" t="s">
        <v>167</v>
      </c>
      <c r="C112" s="131" t="s">
        <v>59</v>
      </c>
      <c r="D112" s="135">
        <v>0</v>
      </c>
      <c r="E112" s="136">
        <v>0</v>
      </c>
      <c r="F112" s="136">
        <v>0</v>
      </c>
      <c r="G112" s="270"/>
      <c r="H112" s="270"/>
      <c r="I112" s="270"/>
      <c r="J112" s="270"/>
      <c r="K112" s="270"/>
      <c r="L112" s="270"/>
      <c r="M112" s="270"/>
      <c r="N112" s="270"/>
      <c r="O112" s="270"/>
      <c r="P112" s="270"/>
      <c r="Q112" s="270"/>
      <c r="R112" s="270"/>
      <c r="S112" s="270"/>
      <c r="T112" s="270"/>
      <c r="U112" s="270"/>
      <c r="V112" s="270"/>
      <c r="W112" s="270"/>
    </row>
    <row r="113" spans="1:23">
      <c r="A113" s="133" t="s">
        <v>65</v>
      </c>
      <c r="B113" s="144" t="s">
        <v>168</v>
      </c>
      <c r="C113" s="131" t="s">
        <v>59</v>
      </c>
      <c r="D113" s="135">
        <f>D114+D115+D123</f>
        <v>764182.19000000006</v>
      </c>
      <c r="E113" s="136">
        <f>E114+E115+E123</f>
        <v>1074071.29</v>
      </c>
      <c r="F113" s="136">
        <f>F114+F115+F123</f>
        <v>108995.91</v>
      </c>
      <c r="G113" s="270"/>
      <c r="H113" s="270"/>
      <c r="I113" s="270"/>
      <c r="J113" s="270"/>
      <c r="K113" s="270"/>
      <c r="L113" s="270"/>
      <c r="M113" s="270"/>
      <c r="N113" s="270"/>
      <c r="O113" s="270"/>
      <c r="P113" s="270"/>
      <c r="Q113" s="270"/>
      <c r="R113" s="270"/>
      <c r="S113" s="270"/>
      <c r="T113" s="270"/>
      <c r="U113" s="270"/>
      <c r="V113" s="270"/>
      <c r="W113" s="270"/>
    </row>
    <row r="114" spans="1:23">
      <c r="A114" s="133" t="s">
        <v>130</v>
      </c>
      <c r="B114" s="144" t="s">
        <v>165</v>
      </c>
      <c r="C114" s="131" t="s">
        <v>59</v>
      </c>
      <c r="D114" s="135">
        <v>0</v>
      </c>
      <c r="E114" s="136">
        <v>73.209999999999994</v>
      </c>
      <c r="F114" s="136">
        <v>0</v>
      </c>
      <c r="G114" s="270"/>
      <c r="H114" s="270"/>
      <c r="I114" s="270"/>
      <c r="J114" s="270"/>
      <c r="K114" s="270"/>
      <c r="L114" s="270"/>
      <c r="M114" s="270"/>
      <c r="N114" s="270"/>
      <c r="O114" s="270"/>
      <c r="P114" s="270"/>
      <c r="Q114" s="270"/>
      <c r="R114" s="270"/>
      <c r="S114" s="270"/>
      <c r="T114" s="270"/>
      <c r="U114" s="270"/>
      <c r="V114" s="270"/>
      <c r="W114" s="270"/>
    </row>
    <row r="115" spans="1:23">
      <c r="A115" s="133" t="s">
        <v>137</v>
      </c>
      <c r="B115" s="144" t="s">
        <v>166</v>
      </c>
      <c r="C115" s="131" t="s">
        <v>59</v>
      </c>
      <c r="D115" s="135">
        <f>SUM(D116:D122)</f>
        <v>718122.51</v>
      </c>
      <c r="E115" s="136">
        <f>SUM(E116:E122)</f>
        <v>1056380.28</v>
      </c>
      <c r="F115" s="136">
        <f>SUM(F116:F122)</f>
        <v>80838.11</v>
      </c>
      <c r="G115" s="270"/>
      <c r="H115" s="270"/>
      <c r="I115" s="270"/>
      <c r="J115" s="270"/>
      <c r="K115" s="270"/>
      <c r="L115" s="270"/>
      <c r="M115" s="270"/>
      <c r="N115" s="270"/>
      <c r="O115" s="270"/>
      <c r="P115" s="270"/>
      <c r="Q115" s="270"/>
      <c r="R115" s="270"/>
      <c r="S115" s="270"/>
      <c r="T115" s="270"/>
      <c r="U115" s="270"/>
      <c r="V115" s="270"/>
      <c r="W115" s="270"/>
    </row>
    <row r="116" spans="1:23">
      <c r="A116" s="133"/>
      <c r="B116" s="144" t="s">
        <v>167</v>
      </c>
      <c r="C116" s="131" t="s">
        <v>59</v>
      </c>
      <c r="D116" s="135">
        <v>0</v>
      </c>
      <c r="E116" s="136">
        <v>0</v>
      </c>
      <c r="F116" s="136">
        <v>0</v>
      </c>
      <c r="G116" s="270"/>
      <c r="H116" s="270"/>
      <c r="I116" s="270"/>
      <c r="J116" s="270"/>
      <c r="K116" s="270"/>
      <c r="L116" s="270"/>
      <c r="M116" s="270"/>
      <c r="N116" s="270"/>
      <c r="O116" s="270"/>
      <c r="P116" s="270"/>
      <c r="Q116" s="270"/>
      <c r="R116" s="270"/>
      <c r="S116" s="270"/>
      <c r="T116" s="270"/>
      <c r="U116" s="270"/>
      <c r="V116" s="270"/>
      <c r="W116" s="270"/>
    </row>
    <row r="117" spans="1:23">
      <c r="A117" s="133"/>
      <c r="B117" s="144" t="s">
        <v>169</v>
      </c>
      <c r="C117" s="131" t="s">
        <v>59</v>
      </c>
      <c r="D117" s="135">
        <v>104714.18</v>
      </c>
      <c r="E117" s="136">
        <v>23181.279999999999</v>
      </c>
      <c r="F117" s="136">
        <v>11170.28</v>
      </c>
      <c r="G117" s="270"/>
      <c r="H117" s="270"/>
      <c r="I117" s="270"/>
      <c r="J117" s="270"/>
      <c r="K117" s="270"/>
      <c r="L117" s="270"/>
      <c r="M117" s="270"/>
      <c r="N117" s="270"/>
      <c r="O117" s="270"/>
      <c r="P117" s="270"/>
      <c r="Q117" s="270"/>
      <c r="R117" s="270"/>
      <c r="S117" s="270"/>
      <c r="T117" s="270"/>
      <c r="U117" s="270"/>
      <c r="V117" s="270"/>
      <c r="W117" s="270"/>
    </row>
    <row r="118" spans="1:23">
      <c r="A118" s="133"/>
      <c r="B118" s="144" t="s">
        <v>170</v>
      </c>
      <c r="C118" s="131" t="s">
        <v>59</v>
      </c>
      <c r="D118" s="135">
        <v>0</v>
      </c>
      <c r="E118" s="136">
        <v>0</v>
      </c>
      <c r="F118" s="136">
        <v>0</v>
      </c>
      <c r="G118" s="270"/>
      <c r="H118" s="270"/>
      <c r="I118" s="270"/>
      <c r="J118" s="270"/>
      <c r="K118" s="270"/>
      <c r="L118" s="270"/>
      <c r="M118" s="270"/>
      <c r="N118" s="270"/>
      <c r="O118" s="270"/>
      <c r="P118" s="270"/>
      <c r="Q118" s="270"/>
      <c r="R118" s="270"/>
      <c r="S118" s="270"/>
      <c r="T118" s="270"/>
      <c r="U118" s="270"/>
      <c r="V118" s="270"/>
      <c r="W118" s="270"/>
    </row>
    <row r="119" spans="1:23">
      <c r="A119" s="133"/>
      <c r="B119" s="144" t="s">
        <v>171</v>
      </c>
      <c r="C119" s="131" t="s">
        <v>59</v>
      </c>
      <c r="D119" s="135">
        <v>0</v>
      </c>
      <c r="E119" s="136">
        <v>0</v>
      </c>
      <c r="F119" s="136">
        <v>0</v>
      </c>
      <c r="G119" s="270"/>
      <c r="H119" s="270"/>
      <c r="I119" s="270"/>
      <c r="J119" s="270"/>
      <c r="K119" s="270"/>
      <c r="L119" s="270"/>
      <c r="M119" s="270"/>
      <c r="N119" s="270"/>
      <c r="O119" s="270"/>
      <c r="P119" s="270"/>
      <c r="Q119" s="270"/>
      <c r="R119" s="270"/>
      <c r="S119" s="270"/>
      <c r="T119" s="270"/>
      <c r="U119" s="270"/>
      <c r="V119" s="270"/>
      <c r="W119" s="270"/>
    </row>
    <row r="120" spans="1:23">
      <c r="A120" s="133"/>
      <c r="B120" s="144" t="s">
        <v>172</v>
      </c>
      <c r="C120" s="131" t="s">
        <v>59</v>
      </c>
      <c r="D120" s="135">
        <v>537442.36</v>
      </c>
      <c r="E120" s="136">
        <v>981727.51</v>
      </c>
      <c r="F120" s="136">
        <v>37436.69</v>
      </c>
      <c r="G120" s="270"/>
      <c r="H120" s="270"/>
      <c r="I120" s="270"/>
      <c r="J120" s="270"/>
      <c r="K120" s="270"/>
      <c r="L120" s="270"/>
      <c r="M120" s="270"/>
      <c r="N120" s="270"/>
      <c r="O120" s="270"/>
      <c r="P120" s="270"/>
      <c r="Q120" s="270"/>
      <c r="R120" s="270"/>
      <c r="S120" s="270"/>
      <c r="T120" s="270"/>
      <c r="U120" s="270"/>
      <c r="V120" s="270"/>
      <c r="W120" s="270"/>
    </row>
    <row r="121" spans="1:23">
      <c r="A121" s="133"/>
      <c r="B121" s="144" t="s">
        <v>173</v>
      </c>
      <c r="C121" s="131" t="s">
        <v>59</v>
      </c>
      <c r="D121" s="135">
        <v>69953.25</v>
      </c>
      <c r="E121" s="136">
        <v>44892.59</v>
      </c>
      <c r="F121" s="136">
        <v>28202.76</v>
      </c>
      <c r="G121" s="270"/>
      <c r="H121" s="270"/>
      <c r="I121" s="270"/>
      <c r="J121" s="270"/>
      <c r="K121" s="270"/>
      <c r="L121" s="270"/>
      <c r="M121" s="270"/>
      <c r="N121" s="270"/>
      <c r="O121" s="270"/>
      <c r="P121" s="270"/>
      <c r="Q121" s="270"/>
      <c r="R121" s="270"/>
      <c r="S121" s="270"/>
      <c r="T121" s="270"/>
      <c r="U121" s="270"/>
      <c r="V121" s="270"/>
      <c r="W121" s="270"/>
    </row>
    <row r="122" spans="1:23">
      <c r="A122" s="133"/>
      <c r="B122" s="144" t="s">
        <v>174</v>
      </c>
      <c r="C122" s="131" t="s">
        <v>59</v>
      </c>
      <c r="D122" s="135">
        <v>6012.72</v>
      </c>
      <c r="E122" s="136">
        <v>6578.9</v>
      </c>
      <c r="F122" s="136">
        <v>4028.38</v>
      </c>
      <c r="G122" s="270"/>
      <c r="H122" s="270"/>
      <c r="I122" s="270"/>
      <c r="J122" s="270"/>
      <c r="K122" s="270"/>
      <c r="L122" s="270"/>
      <c r="M122" s="270"/>
      <c r="N122" s="270"/>
      <c r="O122" s="270"/>
      <c r="P122" s="270"/>
      <c r="Q122" s="270"/>
      <c r="R122" s="270"/>
      <c r="S122" s="270"/>
      <c r="T122" s="270"/>
      <c r="U122" s="270"/>
      <c r="V122" s="270"/>
      <c r="W122" s="270"/>
    </row>
    <row r="123" spans="1:23">
      <c r="A123" s="133" t="s">
        <v>139</v>
      </c>
      <c r="B123" s="144" t="s">
        <v>175</v>
      </c>
      <c r="C123" s="131" t="s">
        <v>59</v>
      </c>
      <c r="D123" s="135">
        <v>46059.68</v>
      </c>
      <c r="E123" s="136">
        <v>17617.8</v>
      </c>
      <c r="F123" s="136">
        <v>28157.8</v>
      </c>
      <c r="G123" s="270"/>
      <c r="H123" s="270"/>
      <c r="I123" s="270"/>
      <c r="J123" s="270"/>
      <c r="K123" s="270"/>
      <c r="L123" s="270"/>
      <c r="M123" s="270"/>
      <c r="N123" s="270"/>
      <c r="O123" s="270"/>
      <c r="P123" s="270"/>
      <c r="Q123" s="270"/>
      <c r="R123" s="270"/>
      <c r="S123" s="270"/>
      <c r="T123" s="270"/>
      <c r="U123" s="270"/>
      <c r="V123" s="270"/>
      <c r="W123" s="270"/>
    </row>
    <row r="124" spans="1:23">
      <c r="A124" s="133" t="s">
        <v>67</v>
      </c>
      <c r="B124" s="144" t="s">
        <v>176</v>
      </c>
      <c r="C124" s="131" t="s">
        <v>59</v>
      </c>
      <c r="D124" s="135">
        <v>0</v>
      </c>
      <c r="E124" s="136">
        <v>0</v>
      </c>
      <c r="F124" s="136">
        <v>0</v>
      </c>
      <c r="G124" s="270"/>
      <c r="H124" s="270"/>
      <c r="I124" s="270"/>
      <c r="J124" s="270"/>
      <c r="K124" s="270"/>
      <c r="L124" s="270"/>
      <c r="M124" s="270"/>
      <c r="N124" s="270"/>
      <c r="O124" s="270"/>
      <c r="P124" s="270"/>
      <c r="Q124" s="270"/>
      <c r="R124" s="270"/>
      <c r="S124" s="270"/>
      <c r="T124" s="270"/>
      <c r="U124" s="270"/>
      <c r="V124" s="270"/>
      <c r="W124" s="270"/>
    </row>
    <row r="125" spans="1:23">
      <c r="A125" s="129"/>
      <c r="B125" s="129" t="s">
        <v>177</v>
      </c>
      <c r="C125" s="131" t="s">
        <v>59</v>
      </c>
      <c r="D125" s="143">
        <f>D97+D107</f>
        <v>4381062.3</v>
      </c>
      <c r="E125" s="143">
        <f>E97+E107</f>
        <v>4911051.55</v>
      </c>
      <c r="F125" s="143">
        <f>F97+F107</f>
        <v>2734397.53</v>
      </c>
      <c r="G125" s="270"/>
      <c r="H125" s="270"/>
      <c r="I125" s="270"/>
      <c r="J125" s="270"/>
      <c r="K125" s="270"/>
      <c r="L125" s="270"/>
      <c r="M125" s="270"/>
      <c r="N125" s="270"/>
      <c r="O125" s="270"/>
      <c r="P125" s="270"/>
      <c r="Q125" s="270"/>
      <c r="R125" s="270"/>
      <c r="S125" s="270"/>
      <c r="T125" s="270"/>
      <c r="U125" s="270"/>
      <c r="V125" s="270"/>
      <c r="W125" s="270"/>
    </row>
    <row r="126" spans="1:23">
      <c r="A126" s="171"/>
      <c r="B126" s="171"/>
      <c r="C126" s="172"/>
      <c r="D126" s="173"/>
      <c r="E126" s="173"/>
      <c r="F126" s="173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</row>
    <row r="127" spans="1:23" hidden="1">
      <c r="A127" s="171"/>
      <c r="B127" s="171" t="s">
        <v>231</v>
      </c>
      <c r="C127" s="172"/>
      <c r="D127" s="173"/>
      <c r="E127" s="173"/>
      <c r="F127" s="173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</row>
    <row r="128" spans="1:23" hidden="1">
      <c r="A128" s="171"/>
      <c r="B128" s="171"/>
      <c r="C128" s="172"/>
      <c r="D128" s="173"/>
      <c r="E128" s="173"/>
      <c r="F128" s="173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</row>
    <row r="129" spans="1:23" hidden="1">
      <c r="A129" s="128" t="s">
        <v>54</v>
      </c>
      <c r="B129" s="128" t="s">
        <v>55</v>
      </c>
      <c r="C129" s="174" t="s">
        <v>56</v>
      </c>
      <c r="D129" s="113"/>
      <c r="E129" s="113"/>
      <c r="F129" s="265"/>
      <c r="G129" s="108"/>
      <c r="H129" s="269"/>
      <c r="I129" s="269"/>
      <c r="J129" s="269"/>
      <c r="K129" s="269"/>
      <c r="L129" s="269"/>
      <c r="M129" s="269"/>
      <c r="N129" s="269"/>
      <c r="O129" s="269"/>
      <c r="P129" s="269"/>
      <c r="Q129" s="269"/>
      <c r="R129" s="269"/>
      <c r="S129" s="269"/>
      <c r="T129" s="269"/>
      <c r="U129" s="269"/>
      <c r="V129" s="269"/>
      <c r="W129" s="269"/>
    </row>
    <row r="130" spans="1:23" hidden="1">
      <c r="A130" s="175"/>
      <c r="B130" s="176" t="s">
        <v>207</v>
      </c>
      <c r="C130" s="131" t="s">
        <v>59</v>
      </c>
      <c r="D130" s="183"/>
      <c r="E130" s="183"/>
      <c r="F130" s="267"/>
      <c r="G130" s="197"/>
      <c r="H130" s="197"/>
      <c r="I130" s="197"/>
      <c r="J130" s="197"/>
      <c r="K130" s="197"/>
      <c r="L130" s="197"/>
      <c r="M130" s="197"/>
      <c r="N130" s="197"/>
      <c r="O130" s="197"/>
      <c r="P130" s="197"/>
      <c r="Q130" s="197"/>
      <c r="R130" s="197"/>
      <c r="S130" s="197"/>
      <c r="T130" s="197"/>
      <c r="U130" s="197"/>
      <c r="V130" s="197"/>
      <c r="W130" s="197"/>
    </row>
    <row r="131" spans="1:23" hidden="1">
      <c r="A131" s="37"/>
      <c r="B131" s="177" t="s">
        <v>208</v>
      </c>
      <c r="C131" s="131" t="s">
        <v>59</v>
      </c>
      <c r="D131" s="183"/>
      <c r="E131" s="183"/>
      <c r="F131" s="267"/>
      <c r="G131" s="197"/>
      <c r="H131" s="197"/>
      <c r="I131" s="197"/>
      <c r="J131" s="197"/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</row>
    <row r="132" spans="1:23" hidden="1">
      <c r="A132" s="37"/>
      <c r="B132" s="178" t="s">
        <v>209</v>
      </c>
      <c r="C132" s="131" t="s">
        <v>59</v>
      </c>
      <c r="D132" s="183"/>
      <c r="E132" s="183"/>
      <c r="F132" s="267"/>
      <c r="G132" s="197"/>
      <c r="H132" s="197"/>
      <c r="I132" s="197"/>
      <c r="J132" s="197"/>
      <c r="K132" s="197"/>
      <c r="L132" s="197"/>
      <c r="M132" s="197"/>
      <c r="N132" s="197"/>
      <c r="O132" s="197"/>
      <c r="P132" s="197"/>
      <c r="Q132" s="197"/>
      <c r="R132" s="197"/>
      <c r="S132" s="197"/>
      <c r="T132" s="197"/>
      <c r="U132" s="197"/>
      <c r="V132" s="197"/>
      <c r="W132" s="197"/>
    </row>
    <row r="133" spans="1:23" hidden="1">
      <c r="A133" s="37"/>
      <c r="B133" s="178" t="s">
        <v>210</v>
      </c>
      <c r="C133" s="131" t="s">
        <v>59</v>
      </c>
      <c r="D133" s="183"/>
      <c r="E133" s="183"/>
      <c r="F133" s="267"/>
      <c r="G133" s="197"/>
      <c r="H133" s="197"/>
      <c r="I133" s="197"/>
      <c r="J133" s="197"/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</row>
    <row r="134" spans="1:23" hidden="1">
      <c r="A134" s="37"/>
      <c r="B134" s="179" t="s">
        <v>211</v>
      </c>
      <c r="C134" s="131" t="s">
        <v>59</v>
      </c>
      <c r="D134" s="183"/>
      <c r="E134" s="183"/>
      <c r="F134" s="26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  <c r="Q134" s="197"/>
      <c r="R134" s="197"/>
      <c r="S134" s="197"/>
      <c r="T134" s="197"/>
      <c r="U134" s="197"/>
      <c r="V134" s="197"/>
      <c r="W134" s="197"/>
    </row>
    <row r="135" spans="1:23" ht="26.25" hidden="1">
      <c r="A135" s="37"/>
      <c r="B135" s="179" t="s">
        <v>212</v>
      </c>
      <c r="C135" s="131" t="s">
        <v>59</v>
      </c>
      <c r="D135" s="183"/>
      <c r="E135" s="183"/>
      <c r="F135" s="267"/>
      <c r="G135" s="197"/>
      <c r="H135" s="197"/>
      <c r="I135" s="197"/>
      <c r="J135" s="197"/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</row>
    <row r="136" spans="1:23" hidden="1">
      <c r="A136" s="37"/>
      <c r="B136" s="179" t="s">
        <v>213</v>
      </c>
      <c r="C136" s="131" t="s">
        <v>59</v>
      </c>
      <c r="D136" s="183"/>
      <c r="E136" s="183"/>
      <c r="F136" s="267"/>
      <c r="G136" s="197"/>
      <c r="H136" s="197"/>
      <c r="I136" s="197"/>
      <c r="J136" s="197"/>
      <c r="K136" s="197"/>
      <c r="L136" s="197"/>
      <c r="M136" s="197"/>
      <c r="N136" s="197"/>
      <c r="O136" s="197"/>
      <c r="P136" s="197"/>
      <c r="Q136" s="197"/>
      <c r="R136" s="197"/>
      <c r="S136" s="197"/>
      <c r="T136" s="197"/>
      <c r="U136" s="197"/>
      <c r="V136" s="197"/>
      <c r="W136" s="197"/>
    </row>
    <row r="137" spans="1:23" hidden="1">
      <c r="A137" s="37"/>
      <c r="B137" s="179" t="s">
        <v>214</v>
      </c>
      <c r="C137" s="131" t="s">
        <v>59</v>
      </c>
      <c r="D137" s="183"/>
      <c r="E137" s="183"/>
      <c r="F137" s="267"/>
      <c r="G137" s="197"/>
      <c r="H137" s="197"/>
      <c r="I137" s="197"/>
      <c r="J137" s="197"/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</row>
    <row r="138" spans="1:23" ht="26.25" hidden="1">
      <c r="A138" s="37"/>
      <c r="B138" s="180" t="s">
        <v>215</v>
      </c>
      <c r="C138" s="131" t="s">
        <v>59</v>
      </c>
      <c r="D138" s="183"/>
      <c r="E138" s="183"/>
      <c r="F138" s="267"/>
      <c r="G138" s="197"/>
      <c r="H138" s="197"/>
      <c r="I138" s="197"/>
      <c r="J138" s="197"/>
      <c r="K138" s="197"/>
      <c r="L138" s="197"/>
      <c r="M138" s="197"/>
      <c r="N138" s="197"/>
      <c r="O138" s="197"/>
      <c r="P138" s="197"/>
      <c r="Q138" s="197"/>
      <c r="R138" s="197"/>
      <c r="S138" s="197"/>
      <c r="T138" s="197"/>
      <c r="U138" s="197"/>
      <c r="V138" s="197"/>
      <c r="W138" s="197"/>
    </row>
    <row r="139" spans="1:23" hidden="1">
      <c r="A139" s="37"/>
      <c r="B139" s="179" t="s">
        <v>216</v>
      </c>
      <c r="C139" s="131" t="s">
        <v>59</v>
      </c>
      <c r="D139" s="183"/>
      <c r="E139" s="183"/>
      <c r="F139" s="267"/>
      <c r="G139" s="197"/>
      <c r="H139" s="197"/>
      <c r="I139" s="197"/>
      <c r="J139" s="197"/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</row>
    <row r="140" spans="1:23" hidden="1">
      <c r="A140" s="37"/>
      <c r="B140" s="179" t="s">
        <v>217</v>
      </c>
      <c r="C140" s="131" t="s">
        <v>59</v>
      </c>
      <c r="D140" s="183"/>
      <c r="E140" s="183"/>
      <c r="F140" s="267"/>
      <c r="G140" s="197"/>
      <c r="H140" s="197"/>
      <c r="I140" s="197"/>
      <c r="J140" s="197"/>
      <c r="K140" s="197"/>
      <c r="L140" s="197"/>
      <c r="M140" s="197"/>
      <c r="N140" s="197"/>
      <c r="O140" s="197"/>
      <c r="P140" s="197"/>
      <c r="Q140" s="197"/>
      <c r="R140" s="197"/>
      <c r="S140" s="197"/>
      <c r="T140" s="197"/>
      <c r="U140" s="197"/>
      <c r="V140" s="197"/>
      <c r="W140" s="197"/>
    </row>
    <row r="141" spans="1:23" hidden="1">
      <c r="A141" s="37"/>
      <c r="B141" s="179" t="s">
        <v>218</v>
      </c>
      <c r="C141" s="131" t="s">
        <v>59</v>
      </c>
      <c r="D141" s="183"/>
      <c r="E141" s="183"/>
      <c r="F141" s="267"/>
      <c r="G141" s="197"/>
      <c r="H141" s="197"/>
      <c r="I141" s="197"/>
      <c r="J141" s="197"/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</row>
    <row r="142" spans="1:23" hidden="1">
      <c r="A142" s="37"/>
      <c r="B142" s="179" t="s">
        <v>219</v>
      </c>
      <c r="C142" s="131" t="s">
        <v>59</v>
      </c>
      <c r="D142" s="183"/>
      <c r="E142" s="183"/>
      <c r="F142" s="267"/>
      <c r="G142" s="197"/>
      <c r="H142" s="197"/>
      <c r="I142" s="197"/>
      <c r="J142" s="197"/>
      <c r="K142" s="197"/>
      <c r="L142" s="197"/>
      <c r="M142" s="197"/>
      <c r="N142" s="197"/>
      <c r="O142" s="197"/>
      <c r="P142" s="197"/>
      <c r="Q142" s="197"/>
      <c r="R142" s="197"/>
      <c r="S142" s="197"/>
      <c r="T142" s="197"/>
      <c r="U142" s="197"/>
      <c r="V142" s="197"/>
      <c r="W142" s="197"/>
    </row>
    <row r="143" spans="1:23" hidden="1">
      <c r="A143" s="37"/>
      <c r="B143" s="180" t="s">
        <v>220</v>
      </c>
      <c r="C143" s="131" t="s">
        <v>59</v>
      </c>
      <c r="D143" s="183"/>
      <c r="E143" s="183"/>
      <c r="F143" s="267"/>
      <c r="G143" s="197"/>
      <c r="H143" s="197"/>
      <c r="I143" s="197"/>
      <c r="J143" s="197"/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</row>
    <row r="144" spans="1:23" hidden="1">
      <c r="A144" s="37"/>
      <c r="B144" s="179" t="s">
        <v>221</v>
      </c>
      <c r="C144" s="131" t="s">
        <v>59</v>
      </c>
      <c r="D144" s="183"/>
      <c r="E144" s="183"/>
      <c r="F144" s="267"/>
      <c r="G144" s="197"/>
      <c r="H144" s="197"/>
      <c r="I144" s="197"/>
      <c r="J144" s="197"/>
      <c r="K144" s="197"/>
      <c r="L144" s="197"/>
      <c r="M144" s="197"/>
      <c r="N144" s="197"/>
      <c r="O144" s="197"/>
      <c r="P144" s="197"/>
      <c r="Q144" s="197"/>
      <c r="R144" s="197"/>
      <c r="S144" s="197"/>
      <c r="T144" s="197"/>
      <c r="U144" s="197"/>
      <c r="V144" s="197"/>
      <c r="W144" s="197"/>
    </row>
    <row r="145" spans="1:23" hidden="1">
      <c r="A145" s="37"/>
      <c r="B145" s="179" t="s">
        <v>222</v>
      </c>
      <c r="C145" s="131" t="s">
        <v>59</v>
      </c>
      <c r="D145" s="183"/>
      <c r="E145" s="183"/>
      <c r="F145" s="267"/>
      <c r="G145" s="197"/>
      <c r="H145" s="197"/>
      <c r="I145" s="197"/>
      <c r="J145" s="197"/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</row>
    <row r="146" spans="1:23" hidden="1">
      <c r="A146" s="37"/>
      <c r="B146" s="179" t="s">
        <v>223</v>
      </c>
      <c r="C146" s="131" t="s">
        <v>59</v>
      </c>
      <c r="D146" s="183"/>
      <c r="E146" s="183"/>
      <c r="F146" s="267"/>
      <c r="G146" s="197"/>
      <c r="H146" s="197"/>
      <c r="I146" s="197"/>
      <c r="J146" s="197"/>
      <c r="K146" s="197"/>
      <c r="L146" s="197"/>
      <c r="M146" s="197"/>
      <c r="N146" s="197"/>
      <c r="O146" s="197"/>
      <c r="P146" s="197"/>
      <c r="Q146" s="197"/>
      <c r="R146" s="197"/>
      <c r="S146" s="197"/>
      <c r="T146" s="197"/>
      <c r="U146" s="197"/>
      <c r="V146" s="197"/>
      <c r="W146" s="197"/>
    </row>
    <row r="147" spans="1:23" hidden="1">
      <c r="A147" s="37"/>
      <c r="B147" s="179" t="s">
        <v>224</v>
      </c>
      <c r="C147" s="131" t="s">
        <v>59</v>
      </c>
      <c r="D147" s="183"/>
      <c r="E147" s="183"/>
      <c r="F147" s="267"/>
      <c r="G147" s="197"/>
      <c r="H147" s="197"/>
      <c r="I147" s="197"/>
      <c r="J147" s="197"/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</row>
    <row r="148" spans="1:23" hidden="1">
      <c r="A148" s="37"/>
      <c r="B148" s="179" t="s">
        <v>225</v>
      </c>
      <c r="C148" s="131" t="s">
        <v>59</v>
      </c>
      <c r="D148" s="183"/>
      <c r="E148" s="183"/>
      <c r="F148" s="267"/>
      <c r="G148" s="197"/>
      <c r="H148" s="197"/>
      <c r="I148" s="197"/>
      <c r="J148" s="197"/>
      <c r="K148" s="197"/>
      <c r="L148" s="197"/>
      <c r="M148" s="197"/>
      <c r="N148" s="197"/>
      <c r="O148" s="197"/>
      <c r="P148" s="197"/>
      <c r="Q148" s="197"/>
      <c r="R148" s="197"/>
      <c r="S148" s="197"/>
      <c r="T148" s="197"/>
      <c r="U148" s="197"/>
      <c r="V148" s="197"/>
      <c r="W148" s="197"/>
    </row>
    <row r="149" spans="1:23" hidden="1">
      <c r="A149" s="37"/>
      <c r="B149" s="177" t="s">
        <v>226</v>
      </c>
      <c r="C149" s="131"/>
      <c r="D149" s="183"/>
      <c r="E149" s="183"/>
      <c r="F149" s="267"/>
      <c r="G149" s="197"/>
      <c r="H149" s="197"/>
      <c r="I149" s="197"/>
      <c r="J149" s="197"/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</row>
    <row r="150" spans="1:23" hidden="1">
      <c r="A150" s="37"/>
      <c r="B150" s="179" t="s">
        <v>227</v>
      </c>
      <c r="C150" s="131" t="s">
        <v>59</v>
      </c>
      <c r="D150" s="183"/>
      <c r="E150" s="183"/>
      <c r="F150" s="267"/>
      <c r="G150" s="197"/>
      <c r="H150" s="197"/>
      <c r="I150" s="197"/>
      <c r="J150" s="197"/>
      <c r="K150" s="197"/>
      <c r="L150" s="197"/>
      <c r="M150" s="197"/>
      <c r="N150" s="197"/>
      <c r="O150" s="197"/>
      <c r="P150" s="197"/>
      <c r="Q150" s="197"/>
      <c r="R150" s="197"/>
      <c r="S150" s="197"/>
      <c r="T150" s="197"/>
      <c r="U150" s="197"/>
      <c r="V150" s="197"/>
      <c r="W150" s="197"/>
    </row>
    <row r="151" spans="1:23" hidden="1">
      <c r="A151" s="37"/>
      <c r="B151" s="180" t="s">
        <v>228</v>
      </c>
      <c r="C151" s="131" t="s">
        <v>59</v>
      </c>
      <c r="D151" s="183"/>
      <c r="E151" s="183"/>
      <c r="F151" s="267"/>
      <c r="G151" s="197"/>
      <c r="H151" s="197"/>
      <c r="I151" s="197"/>
      <c r="J151" s="197"/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</row>
    <row r="152" spans="1:23" hidden="1">
      <c r="A152" s="37"/>
      <c r="B152" s="180" t="s">
        <v>229</v>
      </c>
      <c r="C152" s="131" t="s">
        <v>59</v>
      </c>
      <c r="D152" s="184"/>
      <c r="E152" s="184"/>
      <c r="F152" s="268"/>
      <c r="G152" s="197"/>
      <c r="H152" s="197"/>
      <c r="I152" s="197"/>
      <c r="J152" s="197"/>
      <c r="K152" s="197"/>
      <c r="L152" s="197"/>
      <c r="M152" s="197"/>
      <c r="N152" s="197"/>
      <c r="O152" s="197"/>
      <c r="P152" s="197"/>
      <c r="Q152" s="197"/>
      <c r="R152" s="197"/>
      <c r="S152" s="197"/>
      <c r="T152" s="197"/>
      <c r="U152" s="197"/>
      <c r="V152" s="197"/>
      <c r="W152" s="197"/>
    </row>
    <row r="153" spans="1:23" hidden="1">
      <c r="A153" s="37"/>
      <c r="B153" s="180" t="s">
        <v>230</v>
      </c>
      <c r="C153" s="131" t="s">
        <v>59</v>
      </c>
      <c r="D153" s="184"/>
      <c r="E153" s="184"/>
      <c r="F153" s="268"/>
      <c r="G153" s="197"/>
      <c r="H153" s="197"/>
      <c r="I153" s="197"/>
      <c r="J153" s="197"/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</row>
    <row r="154" spans="1:23">
      <c r="A154" s="108"/>
      <c r="B154" s="181"/>
      <c r="C154" s="172"/>
    </row>
    <row r="155" spans="1:23">
      <c r="A155" s="108"/>
      <c r="B155" s="181"/>
      <c r="C155" s="172"/>
    </row>
    <row r="156" spans="1:23">
      <c r="A156" s="145"/>
      <c r="B156" s="146" t="s">
        <v>178</v>
      </c>
      <c r="C156" s="145"/>
      <c r="D156" s="145"/>
      <c r="E156" s="145"/>
      <c r="F156" s="145"/>
    </row>
    <row r="157" spans="1:23">
      <c r="A157" s="145"/>
      <c r="B157" s="146"/>
      <c r="C157" s="145"/>
      <c r="D157" s="145"/>
      <c r="E157" s="145"/>
      <c r="F157" s="145"/>
    </row>
    <row r="158" spans="1:23">
      <c r="A158" s="145"/>
      <c r="B158" s="146" t="s">
        <v>199</v>
      </c>
      <c r="C158" s="145"/>
      <c r="D158" s="145"/>
      <c r="E158" s="145"/>
      <c r="F158" s="145"/>
    </row>
    <row r="159" spans="1:23">
      <c r="A159" s="147" t="s">
        <v>179</v>
      </c>
      <c r="B159" s="147" t="s">
        <v>55</v>
      </c>
      <c r="C159" s="438"/>
      <c r="D159" s="110">
        <v>2012</v>
      </c>
      <c r="E159" s="112">
        <v>2013</v>
      </c>
      <c r="F159" s="113" t="s">
        <v>125</v>
      </c>
    </row>
    <row r="160" spans="1:23">
      <c r="A160" s="148" t="s">
        <v>61</v>
      </c>
      <c r="B160" s="149" t="s">
        <v>180</v>
      </c>
      <c r="C160" s="439"/>
      <c r="D160" s="150"/>
      <c r="E160" s="150"/>
      <c r="F160" s="150"/>
    </row>
    <row r="161" spans="1:6">
      <c r="A161" s="151" t="s">
        <v>130</v>
      </c>
      <c r="B161" s="152" t="s">
        <v>181</v>
      </c>
      <c r="C161" s="439"/>
      <c r="D161" s="153">
        <f>D68/D21</f>
        <v>9.197765557948584E-2</v>
      </c>
      <c r="E161" s="153">
        <f t="shared" ref="E161:F161" si="63">E68/E21</f>
        <v>9.0485757301770484E-2</v>
      </c>
      <c r="F161" s="153">
        <f t="shared" si="63"/>
        <v>-3.9153439153439153</v>
      </c>
    </row>
    <row r="162" spans="1:6">
      <c r="A162" s="151" t="s">
        <v>137</v>
      </c>
      <c r="B162" s="154" t="s">
        <v>182</v>
      </c>
      <c r="C162" s="439"/>
      <c r="D162" s="153">
        <f>D68/D97</f>
        <v>0.12255060619081451</v>
      </c>
      <c r="E162" s="153">
        <f t="shared" ref="E162:F162" si="64">E68/E97</f>
        <v>0.10512463517339019</v>
      </c>
      <c r="F162" s="153">
        <f t="shared" si="64"/>
        <v>-0.28186163761108673</v>
      </c>
    </row>
    <row r="163" spans="1:6">
      <c r="A163" s="151" t="s">
        <v>139</v>
      </c>
      <c r="B163" s="154" t="s">
        <v>183</v>
      </c>
      <c r="C163" s="439"/>
      <c r="D163" s="153">
        <f>D68/D93</f>
        <v>0.10117428597169227</v>
      </c>
      <c r="E163" s="153">
        <f t="shared" ref="E163:F163" si="65">E68/E93</f>
        <v>8.2133356958959194E-2</v>
      </c>
      <c r="F163" s="153">
        <f t="shared" si="65"/>
        <v>-0.27062634159123161</v>
      </c>
    </row>
    <row r="164" spans="1:6">
      <c r="A164" s="148" t="s">
        <v>63</v>
      </c>
      <c r="B164" s="149" t="s">
        <v>184</v>
      </c>
      <c r="C164" s="439"/>
      <c r="D164" s="155"/>
      <c r="E164" s="155"/>
      <c r="F164" s="155"/>
    </row>
    <row r="165" spans="1:6">
      <c r="A165" s="151" t="s">
        <v>130</v>
      </c>
      <c r="B165" s="154" t="s">
        <v>185</v>
      </c>
      <c r="C165" s="439"/>
      <c r="D165" s="155">
        <f>D88/D113</f>
        <v>2.1694997628772268</v>
      </c>
      <c r="E165" s="155">
        <f t="shared" ref="E165:F165" si="66">E88/E113</f>
        <v>2.3521533100470453</v>
      </c>
      <c r="F165" s="155">
        <f t="shared" si="66"/>
        <v>8.2340455710677567</v>
      </c>
    </row>
    <row r="166" spans="1:6">
      <c r="A166" s="151" t="s">
        <v>137</v>
      </c>
      <c r="B166" s="154" t="s">
        <v>186</v>
      </c>
      <c r="C166" s="439"/>
      <c r="D166" s="155">
        <f>(D88-D89)/D113</f>
        <v>2.1275135579906665</v>
      </c>
      <c r="E166" s="155">
        <f t="shared" ref="E166:F166" si="67">(E88-E89)/E113</f>
        <v>2.321190011512178</v>
      </c>
      <c r="F166" s="155">
        <f t="shared" si="67"/>
        <v>8.0662357881135165</v>
      </c>
    </row>
    <row r="167" spans="1:6">
      <c r="A167" s="148" t="s">
        <v>65</v>
      </c>
      <c r="B167" s="149" t="s">
        <v>187</v>
      </c>
      <c r="C167" s="439"/>
      <c r="D167" s="155"/>
      <c r="E167" s="155"/>
      <c r="F167" s="155"/>
    </row>
    <row r="168" spans="1:6">
      <c r="A168" s="151" t="s">
        <v>130</v>
      </c>
      <c r="B168" s="156" t="s">
        <v>188</v>
      </c>
      <c r="C168" s="439"/>
      <c r="D168" s="155">
        <f>D107/D93</f>
        <v>0.17442851474629797</v>
      </c>
      <c r="E168" s="155">
        <f t="shared" ref="E168:F168" si="68">E107/E93</f>
        <v>0.21870495128482209</v>
      </c>
      <c r="F168" s="155">
        <f t="shared" si="68"/>
        <v>3.9861032934739374E-2</v>
      </c>
    </row>
    <row r="169" spans="1:6">
      <c r="A169" s="151" t="s">
        <v>137</v>
      </c>
      <c r="B169" s="156" t="s">
        <v>189</v>
      </c>
      <c r="C169" s="439"/>
      <c r="D169" s="155">
        <f>D107/D97</f>
        <v>0.21128214559481212</v>
      </c>
      <c r="E169" s="155">
        <f t="shared" ref="E169:F169" si="69">E107/E97</f>
        <v>0.27992619644073957</v>
      </c>
      <c r="F169" s="155">
        <f t="shared" si="69"/>
        <v>4.1515899575014364E-2</v>
      </c>
    </row>
    <row r="170" spans="1:6">
      <c r="A170" s="148" t="s">
        <v>67</v>
      </c>
      <c r="B170" s="149" t="s">
        <v>190</v>
      </c>
      <c r="C170" s="439"/>
      <c r="D170" s="155"/>
      <c r="E170" s="155"/>
      <c r="F170" s="155"/>
    </row>
    <row r="171" spans="1:6">
      <c r="A171" s="151" t="s">
        <v>130</v>
      </c>
      <c r="B171" s="156" t="s">
        <v>191</v>
      </c>
      <c r="C171" s="439"/>
      <c r="D171" s="155">
        <f>D89/D88</f>
        <v>1.9352942832718743E-2</v>
      </c>
      <c r="E171" s="155">
        <f t="shared" ref="E171:F171" si="70">E89/E88</f>
        <v>1.316380968987433E-2</v>
      </c>
      <c r="F171" s="155">
        <f t="shared" si="70"/>
        <v>2.0379992010717066E-2</v>
      </c>
    </row>
    <row r="172" spans="1:6">
      <c r="A172" s="151" t="s">
        <v>137</v>
      </c>
      <c r="B172" s="156" t="s">
        <v>192</v>
      </c>
      <c r="C172" s="439"/>
      <c r="D172" s="155">
        <f>D90/D88</f>
        <v>0.33553397786062295</v>
      </c>
      <c r="E172" s="155">
        <f t="shared" ref="E172:F172" si="71">E90/E88</f>
        <v>5.1188092288590246E-2</v>
      </c>
      <c r="F172" s="155">
        <f t="shared" si="71"/>
        <v>2.1165850335889837E-2</v>
      </c>
    </row>
    <row r="173" spans="1:6">
      <c r="A173" s="151" t="s">
        <v>139</v>
      </c>
      <c r="B173" s="156" t="s">
        <v>193</v>
      </c>
      <c r="C173" s="439"/>
      <c r="D173" s="155">
        <f>D91/D88</f>
        <v>0.61657857332995203</v>
      </c>
      <c r="E173" s="155">
        <f t="shared" ref="E173:F173" si="72">E91/E88</f>
        <v>0.91996182174216889</v>
      </c>
      <c r="F173" s="155">
        <f t="shared" si="72"/>
        <v>0.91608539754805385</v>
      </c>
    </row>
    <row r="174" spans="1:6">
      <c r="A174" s="157" t="s">
        <v>77</v>
      </c>
      <c r="B174" s="158" t="s">
        <v>194</v>
      </c>
      <c r="C174" s="159"/>
      <c r="D174" s="155"/>
      <c r="E174" s="155"/>
      <c r="F174" s="155"/>
    </row>
    <row r="175" spans="1:6">
      <c r="A175" s="151" t="s">
        <v>130</v>
      </c>
      <c r="B175" s="156" t="s">
        <v>195</v>
      </c>
      <c r="C175" s="159"/>
      <c r="D175" s="160">
        <f>D89/(D21/365)</f>
        <v>2.4301280343526019</v>
      </c>
      <c r="E175" s="160">
        <f t="shared" ref="E175" si="73">E89/(E21/365)</f>
        <v>2.7230734229863769</v>
      </c>
      <c r="F175" s="160">
        <f>F89/(F21/182)</f>
        <v>17.613151111111112</v>
      </c>
    </row>
    <row r="176" spans="1:6">
      <c r="A176" s="151" t="s">
        <v>137</v>
      </c>
      <c r="B176" s="156" t="s">
        <v>196</v>
      </c>
      <c r="C176" s="159"/>
      <c r="D176" s="160">
        <f>D90/(D21/365)</f>
        <v>42.132637559307938</v>
      </c>
      <c r="E176" s="160">
        <f t="shared" ref="E176" si="74">E90/(E21/365)</f>
        <v>10.588798909152622</v>
      </c>
      <c r="F176" s="160">
        <f>F90/(F21/182)</f>
        <v>18.292319259259255</v>
      </c>
    </row>
    <row r="177" spans="1:23">
      <c r="A177" s="151" t="s">
        <v>139</v>
      </c>
      <c r="B177" s="156" t="s">
        <v>197</v>
      </c>
      <c r="C177" s="159"/>
      <c r="D177" s="160">
        <f>D117/(D21/365)</f>
        <v>7.9310578773843847</v>
      </c>
      <c r="E177" s="160">
        <f t="shared" ref="E177" si="75">E117/(E21/365)</f>
        <v>1.898088404768038</v>
      </c>
      <c r="F177" s="160">
        <f>F117/(F21/182)</f>
        <v>10.756565925925926</v>
      </c>
    </row>
    <row r="181" spans="1:23">
      <c r="B181" s="149" t="s">
        <v>200</v>
      </c>
      <c r="C181" s="37"/>
      <c r="D181" s="113">
        <v>2012</v>
      </c>
      <c r="E181" s="113">
        <v>2013</v>
      </c>
      <c r="F181" s="113" t="s">
        <v>125</v>
      </c>
      <c r="G181" s="37">
        <v>2014</v>
      </c>
      <c r="H181" s="164">
        <v>2015</v>
      </c>
      <c r="I181" s="164">
        <v>2016</v>
      </c>
      <c r="J181" s="164">
        <v>2017</v>
      </c>
      <c r="K181" s="164">
        <v>2018</v>
      </c>
      <c r="L181" s="164">
        <v>2019</v>
      </c>
      <c r="M181" s="164">
        <v>2020</v>
      </c>
      <c r="N181" s="164">
        <v>2021</v>
      </c>
      <c r="O181" s="164">
        <v>2022</v>
      </c>
      <c r="P181" s="164">
        <v>2023</v>
      </c>
      <c r="Q181" s="164">
        <v>2024</v>
      </c>
      <c r="R181" s="164">
        <v>2025</v>
      </c>
      <c r="S181" s="164">
        <v>2026</v>
      </c>
      <c r="T181" s="164">
        <v>2027</v>
      </c>
      <c r="U181" s="164">
        <v>2028</v>
      </c>
      <c r="V181" s="164">
        <v>2029</v>
      </c>
      <c r="W181" s="164">
        <v>2030</v>
      </c>
    </row>
    <row r="182" spans="1:23">
      <c r="B182" s="162" t="s">
        <v>206</v>
      </c>
      <c r="C182" s="37" t="s">
        <v>201</v>
      </c>
      <c r="D182" s="37"/>
      <c r="E182" s="37"/>
      <c r="F182" s="37"/>
      <c r="G182" s="37"/>
      <c r="H182" s="37"/>
      <c r="I182" s="12">
        <v>4878.05</v>
      </c>
      <c r="J182" s="12">
        <v>4878.05</v>
      </c>
      <c r="K182" s="12">
        <v>4878.05</v>
      </c>
      <c r="L182" s="12">
        <v>4878.05</v>
      </c>
      <c r="M182" s="12">
        <v>4878.05</v>
      </c>
      <c r="N182" s="12">
        <v>4878.05</v>
      </c>
      <c r="O182" s="12">
        <v>4878.05</v>
      </c>
      <c r="P182" s="12">
        <v>4878.05</v>
      </c>
      <c r="Q182" s="12">
        <v>4878.05</v>
      </c>
      <c r="R182" s="12">
        <v>4878.05</v>
      </c>
      <c r="S182" s="12">
        <v>4878.05</v>
      </c>
      <c r="T182" s="12">
        <v>4878.05</v>
      </c>
      <c r="U182" s="12">
        <v>4878.05</v>
      </c>
      <c r="V182" s="12">
        <v>4878.05</v>
      </c>
      <c r="W182" s="12">
        <v>4878.05</v>
      </c>
    </row>
    <row r="183" spans="1:23">
      <c r="B183" s="162" t="s">
        <v>202</v>
      </c>
      <c r="C183" s="37"/>
      <c r="D183" s="37"/>
      <c r="E183" s="37"/>
      <c r="F183" s="37"/>
      <c r="G183" s="37"/>
      <c r="H183" s="37"/>
      <c r="I183" s="12">
        <v>6000</v>
      </c>
      <c r="J183" s="12">
        <v>6000</v>
      </c>
      <c r="K183" s="12">
        <v>6000</v>
      </c>
      <c r="L183" s="12">
        <v>6000</v>
      </c>
      <c r="M183" s="12">
        <v>6000</v>
      </c>
      <c r="N183" s="12">
        <v>6000</v>
      </c>
      <c r="O183" s="12">
        <v>6000</v>
      </c>
      <c r="P183" s="12">
        <v>6000</v>
      </c>
      <c r="Q183" s="12">
        <v>6000</v>
      </c>
      <c r="R183" s="12">
        <v>6000</v>
      </c>
      <c r="S183" s="12">
        <v>6000</v>
      </c>
      <c r="T183" s="12">
        <v>6000</v>
      </c>
      <c r="U183" s="12">
        <v>6000</v>
      </c>
      <c r="V183" s="12">
        <v>6000</v>
      </c>
      <c r="W183" s="12">
        <v>6000</v>
      </c>
    </row>
  </sheetData>
  <mergeCells count="7">
    <mergeCell ref="C159:C173"/>
    <mergeCell ref="G19:W19"/>
    <mergeCell ref="D19:F19"/>
    <mergeCell ref="C4:E4"/>
    <mergeCell ref="F4:H4"/>
    <mergeCell ref="I4:K4"/>
    <mergeCell ref="L4:M4"/>
  </mergeCells>
  <hyperlinks>
    <hyperlink ref="B132" location="_ftn1" display="_ftn1"/>
    <hyperlink ref="B133" location="_ftn2" display="_ftn2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82"/>
  <sheetViews>
    <sheetView topLeftCell="C148" zoomScale="80" zoomScaleNormal="80" workbookViewId="0">
      <selection activeCell="H41" sqref="H41"/>
    </sheetView>
  </sheetViews>
  <sheetFormatPr defaultRowHeight="15"/>
  <cols>
    <col min="3" max="3" width="57.85546875" customWidth="1"/>
    <col min="4" max="4" width="14.140625" customWidth="1"/>
    <col min="5" max="5" width="16.7109375" customWidth="1"/>
    <col min="6" max="6" width="15.7109375" customWidth="1"/>
    <col min="7" max="7" width="17.140625" customWidth="1"/>
    <col min="8" max="8" width="18.7109375" customWidth="1"/>
    <col min="9" max="9" width="16.28515625" customWidth="1"/>
    <col min="10" max="10" width="17.42578125" customWidth="1"/>
    <col min="11" max="11" width="17.5703125" customWidth="1"/>
    <col min="12" max="12" width="19.5703125" customWidth="1"/>
    <col min="13" max="13" width="18" customWidth="1"/>
    <col min="14" max="14" width="18.28515625" customWidth="1"/>
    <col min="15" max="15" width="16.7109375" customWidth="1"/>
    <col min="16" max="16" width="17.28515625" customWidth="1"/>
    <col min="17" max="17" width="18.7109375" customWidth="1"/>
    <col min="18" max="18" width="17.28515625" customWidth="1"/>
    <col min="19" max="19" width="16.28515625" customWidth="1"/>
    <col min="20" max="20" width="19.5703125" customWidth="1"/>
    <col min="21" max="21" width="18.7109375" customWidth="1"/>
    <col min="22" max="22" width="17.5703125" customWidth="1"/>
    <col min="23" max="23" width="18.5703125" customWidth="1"/>
  </cols>
  <sheetData>
    <row r="1" spans="3:16">
      <c r="C1" s="17" t="s">
        <v>42</v>
      </c>
    </row>
    <row r="3" spans="3:16">
      <c r="C3" s="17" t="s">
        <v>233</v>
      </c>
      <c r="M3" s="103"/>
      <c r="N3" s="103"/>
    </row>
    <row r="4" spans="3:16" ht="24.75" customHeight="1">
      <c r="C4" s="37"/>
      <c r="D4" s="444">
        <v>2014</v>
      </c>
      <c r="E4" s="444"/>
      <c r="F4" s="444"/>
      <c r="G4" s="444">
        <v>2015</v>
      </c>
      <c r="H4" s="444"/>
      <c r="I4" s="444"/>
      <c r="J4" s="444" t="s">
        <v>7</v>
      </c>
      <c r="K4" s="444"/>
      <c r="L4" s="444"/>
      <c r="M4" s="445" t="s">
        <v>313</v>
      </c>
      <c r="N4" s="445"/>
      <c r="O4" s="373" t="s">
        <v>53</v>
      </c>
      <c r="P4" s="372"/>
    </row>
    <row r="5" spans="3:16" ht="36.75">
      <c r="C5" s="37"/>
      <c r="D5" s="8" t="s">
        <v>6</v>
      </c>
      <c r="E5" s="8" t="s">
        <v>47</v>
      </c>
      <c r="F5" s="8" t="s">
        <v>48</v>
      </c>
      <c r="G5" s="8" t="s">
        <v>6</v>
      </c>
      <c r="H5" s="8" t="s">
        <v>47</v>
      </c>
      <c r="I5" s="8" t="s">
        <v>48</v>
      </c>
      <c r="J5" s="105" t="s">
        <v>6</v>
      </c>
      <c r="K5" s="8" t="s">
        <v>47</v>
      </c>
      <c r="L5" s="8" t="s">
        <v>48</v>
      </c>
      <c r="M5" s="105" t="s">
        <v>50</v>
      </c>
      <c r="N5" s="105" t="s">
        <v>234</v>
      </c>
      <c r="O5" s="105" t="s">
        <v>234</v>
      </c>
    </row>
    <row r="6" spans="3:16">
      <c r="C6" s="272" t="s">
        <v>312</v>
      </c>
      <c r="D6" s="10">
        <f>3000+8190</f>
        <v>11190</v>
      </c>
      <c r="E6" s="10">
        <v>0</v>
      </c>
      <c r="F6" s="98">
        <f t="shared" ref="F6:F7" si="0">D6+E6</f>
        <v>11190</v>
      </c>
      <c r="G6" s="10"/>
      <c r="H6" s="10"/>
      <c r="I6" s="10"/>
      <c r="J6" s="368">
        <f>D6</f>
        <v>11190</v>
      </c>
      <c r="K6" s="10">
        <v>0</v>
      </c>
      <c r="L6" s="80">
        <f t="shared" ref="L6" si="1">F6+I6</f>
        <v>11190</v>
      </c>
      <c r="M6" s="368">
        <f>L6*0.85</f>
        <v>9511.5</v>
      </c>
      <c r="N6" s="368">
        <f>L6*0.15</f>
        <v>1678.5</v>
      </c>
      <c r="O6" s="368">
        <f>K6*0.15</f>
        <v>0</v>
      </c>
    </row>
    <row r="7" spans="3:16">
      <c r="C7" s="272" t="s">
        <v>281</v>
      </c>
      <c r="D7" s="281">
        <v>4700</v>
      </c>
      <c r="E7" s="98">
        <f>D7*0.23</f>
        <v>1081</v>
      </c>
      <c r="F7" s="98">
        <f t="shared" si="0"/>
        <v>5781</v>
      </c>
      <c r="G7" s="235"/>
      <c r="H7" s="235"/>
      <c r="I7" s="235"/>
      <c r="J7" s="367">
        <f>D7</f>
        <v>4700</v>
      </c>
      <c r="K7" s="367">
        <f t="shared" ref="K7:L7" si="2">E7</f>
        <v>1081</v>
      </c>
      <c r="L7" s="367">
        <f t="shared" si="2"/>
        <v>5781</v>
      </c>
      <c r="M7" s="236">
        <v>0</v>
      </c>
      <c r="N7" s="367">
        <f>J7</f>
        <v>4700</v>
      </c>
      <c r="O7" s="368">
        <f>K7</f>
        <v>1081</v>
      </c>
    </row>
    <row r="8" spans="3:16">
      <c r="C8" s="100" t="s">
        <v>273</v>
      </c>
      <c r="D8" s="98">
        <v>4700</v>
      </c>
      <c r="E8" s="98">
        <f>D8*0.23</f>
        <v>1081</v>
      </c>
      <c r="F8" s="98">
        <f>D8+E8</f>
        <v>5781</v>
      </c>
      <c r="G8" s="12">
        <v>0</v>
      </c>
      <c r="H8" s="12">
        <v>0</v>
      </c>
      <c r="I8" s="12">
        <v>0</v>
      </c>
      <c r="J8" s="80">
        <f>D8+G8</f>
        <v>4700</v>
      </c>
      <c r="K8" s="80">
        <f>E8+H8</f>
        <v>1081</v>
      </c>
      <c r="L8" s="80">
        <f>F8+I8</f>
        <v>5781</v>
      </c>
      <c r="M8" s="102">
        <f>J8*0.85</f>
        <v>3995</v>
      </c>
      <c r="N8" s="102">
        <f>J8*0.15</f>
        <v>705</v>
      </c>
      <c r="O8" s="368">
        <f t="shared" ref="O8:O13" si="3">K8</f>
        <v>1081</v>
      </c>
    </row>
    <row r="9" spans="3:16">
      <c r="C9" s="264" t="s">
        <v>306</v>
      </c>
      <c r="D9" s="12"/>
      <c r="E9" s="12"/>
      <c r="F9" s="12"/>
      <c r="G9" s="12">
        <f>'zadania i plan płatności'!B30*'zadania i plan płatności'!C53</f>
        <v>26262.886251208096</v>
      </c>
      <c r="H9" s="12">
        <f>G9*0.23</f>
        <v>6040.463837777862</v>
      </c>
      <c r="I9" s="12">
        <f>G9+H9</f>
        <v>32303.350088985957</v>
      </c>
      <c r="J9" s="80">
        <f t="shared" ref="J9:L13" si="4">D9+G9</f>
        <v>26262.886251208096</v>
      </c>
      <c r="K9" s="80">
        <f t="shared" si="4"/>
        <v>6040.463837777862</v>
      </c>
      <c r="L9" s="80">
        <f t="shared" si="4"/>
        <v>32303.350088985957</v>
      </c>
      <c r="M9" s="102">
        <f t="shared" ref="M9:M13" si="5">J9*0.85</f>
        <v>22323.453313526879</v>
      </c>
      <c r="N9" s="102">
        <f t="shared" ref="N9:N13" si="6">J9*0.15</f>
        <v>3939.4329376812143</v>
      </c>
      <c r="O9" s="368">
        <f t="shared" si="3"/>
        <v>6040.463837777862</v>
      </c>
    </row>
    <row r="10" spans="3:16">
      <c r="C10" s="100" t="s">
        <v>331</v>
      </c>
      <c r="D10" s="12">
        <v>0</v>
      </c>
      <c r="E10" s="12">
        <v>0</v>
      </c>
      <c r="F10" s="12">
        <v>0</v>
      </c>
      <c r="G10" s="12">
        <f>'zadania i plan płatności'!B33*'zadania i plan płatności'!C53</f>
        <v>78788.658753624288</v>
      </c>
      <c r="H10" s="12">
        <f>G10*0.23</f>
        <v>18121.391513333587</v>
      </c>
      <c r="I10" s="12">
        <f>G10+H10</f>
        <v>96910.050266957871</v>
      </c>
      <c r="J10" s="80">
        <f t="shared" si="4"/>
        <v>78788.658753624288</v>
      </c>
      <c r="K10" s="80">
        <f t="shared" si="4"/>
        <v>18121.391513333587</v>
      </c>
      <c r="L10" s="80">
        <f t="shared" si="4"/>
        <v>96910.050266957871</v>
      </c>
      <c r="M10" s="102">
        <f t="shared" si="5"/>
        <v>66970.359940580645</v>
      </c>
      <c r="N10" s="102">
        <f t="shared" si="6"/>
        <v>11818.298813043642</v>
      </c>
      <c r="O10" s="368">
        <f t="shared" si="3"/>
        <v>18121.391513333587</v>
      </c>
    </row>
    <row r="11" spans="3:16">
      <c r="C11" s="13" t="s">
        <v>274</v>
      </c>
      <c r="D11" s="12"/>
      <c r="E11" s="12"/>
      <c r="F11" s="12"/>
      <c r="G11" s="12">
        <f>'zadania i plan płatności'!B38+'zadania i plan płatności'!C38</f>
        <v>1963109.4200000002</v>
      </c>
      <c r="H11" s="12">
        <f t="shared" ref="H11:H13" si="7">G11*0.23</f>
        <v>451515.16660000006</v>
      </c>
      <c r="I11" s="12">
        <f>G11+H11</f>
        <v>2414624.5866</v>
      </c>
      <c r="J11" s="80">
        <f t="shared" si="4"/>
        <v>1963109.4200000002</v>
      </c>
      <c r="K11" s="80">
        <f t="shared" si="4"/>
        <v>451515.16660000006</v>
      </c>
      <c r="L11" s="80">
        <f t="shared" si="4"/>
        <v>2414624.5866</v>
      </c>
      <c r="M11" s="102">
        <f>(J11-'zadania i plan płatności'!C38)*0.85</f>
        <v>1617652.0595</v>
      </c>
      <c r="N11" s="102">
        <f>J11-M11</f>
        <v>345457.36050000018</v>
      </c>
      <c r="O11" s="368">
        <f t="shared" si="3"/>
        <v>451515.16660000006</v>
      </c>
    </row>
    <row r="12" spans="3:16">
      <c r="C12" s="263" t="s">
        <v>307</v>
      </c>
      <c r="D12" s="12"/>
      <c r="E12" s="12"/>
      <c r="F12" s="12"/>
      <c r="G12" s="12">
        <f>'zadania i plan płatności'!B45*'zadania i plan płatności'!C53</f>
        <v>52525.772502416192</v>
      </c>
      <c r="H12" s="12">
        <f t="shared" si="7"/>
        <v>12080.927675555724</v>
      </c>
      <c r="I12" s="12">
        <f>G12+H12</f>
        <v>64606.700177971914</v>
      </c>
      <c r="J12" s="80">
        <f t="shared" ref="J12" si="8">D12+G12</f>
        <v>52525.772502416192</v>
      </c>
      <c r="K12" s="80">
        <f t="shared" ref="K12" si="9">E12+H12</f>
        <v>12080.927675555724</v>
      </c>
      <c r="L12" s="80">
        <f t="shared" ref="L12" si="10">F12+I12</f>
        <v>64606.700177971914</v>
      </c>
      <c r="M12" s="102">
        <f t="shared" si="5"/>
        <v>44646.906627053759</v>
      </c>
      <c r="N12" s="102">
        <f t="shared" si="6"/>
        <v>7878.8658753624286</v>
      </c>
      <c r="O12" s="368">
        <f t="shared" si="3"/>
        <v>12080.927675555724</v>
      </c>
    </row>
    <row r="13" spans="3:16" ht="24">
      <c r="C13" s="101" t="s">
        <v>308</v>
      </c>
      <c r="D13" s="12"/>
      <c r="E13" s="12"/>
      <c r="F13" s="12"/>
      <c r="G13" s="12">
        <f>'zadania i plan płatności'!B42*'zadania i plan płatności'!C53</f>
        <v>5252.5772502416194</v>
      </c>
      <c r="H13" s="12">
        <f t="shared" si="7"/>
        <v>1208.0927675555724</v>
      </c>
      <c r="I13" s="12">
        <f>G13+H13</f>
        <v>6460.6700177971916</v>
      </c>
      <c r="J13" s="80">
        <f t="shared" si="4"/>
        <v>5252.5772502416194</v>
      </c>
      <c r="K13" s="80">
        <f t="shared" si="4"/>
        <v>1208.0927675555724</v>
      </c>
      <c r="L13" s="80">
        <f t="shared" si="4"/>
        <v>6460.6700177971916</v>
      </c>
      <c r="M13" s="102">
        <f t="shared" si="5"/>
        <v>4464.6906627053768</v>
      </c>
      <c r="N13" s="102">
        <f t="shared" si="6"/>
        <v>787.88658753624293</v>
      </c>
      <c r="O13" s="368">
        <f t="shared" si="3"/>
        <v>1208.0927675555724</v>
      </c>
    </row>
    <row r="14" spans="3:16">
      <c r="C14" s="99" t="s">
        <v>49</v>
      </c>
      <c r="D14" s="106">
        <f>SUM(D6:D13)</f>
        <v>20590</v>
      </c>
      <c r="E14" s="106">
        <f t="shared" ref="E14:N14" si="11">SUM(E6:E13)</f>
        <v>2162</v>
      </c>
      <c r="F14" s="106">
        <f t="shared" si="11"/>
        <v>22752</v>
      </c>
      <c r="G14" s="106">
        <f t="shared" si="11"/>
        <v>2125939.3147574905</v>
      </c>
      <c r="H14" s="106">
        <f t="shared" si="11"/>
        <v>488966.04239422281</v>
      </c>
      <c r="I14" s="106">
        <f t="shared" si="11"/>
        <v>2614905.3571517128</v>
      </c>
      <c r="J14" s="106">
        <f t="shared" si="11"/>
        <v>2146529.3147574905</v>
      </c>
      <c r="K14" s="106">
        <f t="shared" si="11"/>
        <v>491128.04239422281</v>
      </c>
      <c r="L14" s="106">
        <f t="shared" si="11"/>
        <v>2637657.3571517128</v>
      </c>
      <c r="M14" s="106">
        <f t="shared" si="11"/>
        <v>1769563.9700438667</v>
      </c>
      <c r="N14" s="106">
        <f t="shared" si="11"/>
        <v>376965.34471362369</v>
      </c>
      <c r="O14" s="106">
        <f>SUM(O6:O13)</f>
        <v>491128.04239422281</v>
      </c>
      <c r="P14" s="96"/>
    </row>
    <row r="16" spans="3:16">
      <c r="P16" s="96"/>
    </row>
    <row r="17" spans="2:23">
      <c r="C17" s="109" t="s">
        <v>124</v>
      </c>
      <c r="J17" t="s">
        <v>271</v>
      </c>
    </row>
    <row r="18" spans="2:23">
      <c r="C18" s="109"/>
      <c r="J18" t="s">
        <v>205</v>
      </c>
    </row>
    <row r="19" spans="2:23">
      <c r="C19" s="109" t="s">
        <v>235</v>
      </c>
      <c r="E19" s="440" t="s">
        <v>204</v>
      </c>
      <c r="F19" s="440"/>
      <c r="G19" s="440" t="s">
        <v>203</v>
      </c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440"/>
      <c r="T19" s="440"/>
      <c r="U19" s="440"/>
      <c r="V19" s="440"/>
      <c r="W19" s="440"/>
    </row>
    <row r="20" spans="2:23">
      <c r="B20" s="110" t="s">
        <v>54</v>
      </c>
      <c r="C20" s="110" t="s">
        <v>55</v>
      </c>
      <c r="D20" s="218" t="s">
        <v>56</v>
      </c>
      <c r="E20" s="113">
        <v>2012</v>
      </c>
      <c r="F20" s="37">
        <v>2013</v>
      </c>
      <c r="G20" s="37">
        <v>2014</v>
      </c>
      <c r="H20" s="164">
        <v>2015</v>
      </c>
      <c r="I20" s="164">
        <v>2016</v>
      </c>
      <c r="J20" s="164">
        <v>2017</v>
      </c>
      <c r="K20" s="164">
        <v>2018</v>
      </c>
      <c r="L20" s="164">
        <v>2019</v>
      </c>
      <c r="M20" s="164">
        <v>2020</v>
      </c>
      <c r="N20" s="164">
        <v>2021</v>
      </c>
      <c r="O20" s="164">
        <v>2022</v>
      </c>
      <c r="P20" s="164">
        <v>2023</v>
      </c>
      <c r="Q20" s="164">
        <v>2024</v>
      </c>
      <c r="R20" s="164">
        <v>2025</v>
      </c>
      <c r="S20" s="164">
        <v>2026</v>
      </c>
      <c r="T20" s="164">
        <v>2027</v>
      </c>
      <c r="U20" s="164">
        <v>2028</v>
      </c>
      <c r="V20" s="164">
        <v>2029</v>
      </c>
      <c r="W20" s="164">
        <v>2030</v>
      </c>
    </row>
    <row r="21" spans="2:23">
      <c r="B21" s="114" t="s">
        <v>57</v>
      </c>
      <c r="C21" s="115" t="s">
        <v>58</v>
      </c>
      <c r="D21" s="116" t="s">
        <v>59</v>
      </c>
      <c r="E21" s="117">
        <f>E23+E24+E25+E26</f>
        <v>12874044.18</v>
      </c>
      <c r="F21" s="117">
        <f>F23+F24+F25+F26</f>
        <v>13335531.459999999</v>
      </c>
      <c r="G21" s="117">
        <f>G23+G24+G25+G26</f>
        <v>14002308.033</v>
      </c>
      <c r="H21" s="117">
        <f t="shared" ref="H21:W21" si="12">H23+H24+H25+H26</f>
        <v>14702423.43465</v>
      </c>
      <c r="I21" s="117">
        <f t="shared" si="12"/>
        <v>15437544.606382502</v>
      </c>
      <c r="J21" s="117">
        <f t="shared" si="12"/>
        <v>16209421.836701628</v>
      </c>
      <c r="K21" s="117">
        <f t="shared" si="12"/>
        <v>17019892.928536706</v>
      </c>
      <c r="L21" s="117">
        <f t="shared" si="12"/>
        <v>17870887.574963544</v>
      </c>
      <c r="M21" s="117">
        <f t="shared" si="12"/>
        <v>18764431.953711722</v>
      </c>
      <c r="N21" s="117">
        <f t="shared" si="12"/>
        <v>19702653.551397309</v>
      </c>
      <c r="O21" s="117">
        <f t="shared" si="12"/>
        <v>20687786.228967175</v>
      </c>
      <c r="P21" s="117">
        <f t="shared" si="12"/>
        <v>21722175.540415529</v>
      </c>
      <c r="Q21" s="117">
        <f t="shared" si="12"/>
        <v>22808284.317436308</v>
      </c>
      <c r="R21" s="117">
        <f t="shared" si="12"/>
        <v>23948698.533308122</v>
      </c>
      <c r="S21" s="117">
        <f t="shared" si="12"/>
        <v>25146133.459973529</v>
      </c>
      <c r="T21" s="117">
        <f t="shared" si="12"/>
        <v>26403440.132972203</v>
      </c>
      <c r="U21" s="117">
        <f t="shared" si="12"/>
        <v>27723612.139620811</v>
      </c>
      <c r="V21" s="117">
        <f t="shared" si="12"/>
        <v>29109792.74660185</v>
      </c>
      <c r="W21" s="117">
        <f t="shared" si="12"/>
        <v>30565282.38393195</v>
      </c>
    </row>
    <row r="22" spans="2:23">
      <c r="B22" s="119"/>
      <c r="C22" s="120" t="s">
        <v>60</v>
      </c>
      <c r="D22" s="116" t="s">
        <v>59</v>
      </c>
      <c r="E22" s="121">
        <v>0</v>
      </c>
      <c r="F22" s="12">
        <v>0</v>
      </c>
      <c r="G22" s="12">
        <f>F22+F22*0.05</f>
        <v>0</v>
      </c>
      <c r="H22" s="12">
        <f t="shared" ref="H22:W26" si="13">G22+G22*0.05</f>
        <v>0</v>
      </c>
      <c r="I22" s="12">
        <f t="shared" si="13"/>
        <v>0</v>
      </c>
      <c r="J22" s="12">
        <f t="shared" si="13"/>
        <v>0</v>
      </c>
      <c r="K22" s="12">
        <f t="shared" si="13"/>
        <v>0</v>
      </c>
      <c r="L22" s="12">
        <f t="shared" si="13"/>
        <v>0</v>
      </c>
      <c r="M22" s="12">
        <f t="shared" si="13"/>
        <v>0</v>
      </c>
      <c r="N22" s="12">
        <f t="shared" si="13"/>
        <v>0</v>
      </c>
      <c r="O22" s="12">
        <f t="shared" si="13"/>
        <v>0</v>
      </c>
      <c r="P22" s="12">
        <f t="shared" si="13"/>
        <v>0</v>
      </c>
      <c r="Q22" s="12">
        <f t="shared" si="13"/>
        <v>0</v>
      </c>
      <c r="R22" s="12">
        <f t="shared" si="13"/>
        <v>0</v>
      </c>
      <c r="S22" s="12">
        <f t="shared" si="13"/>
        <v>0</v>
      </c>
      <c r="T22" s="12">
        <f t="shared" si="13"/>
        <v>0</v>
      </c>
      <c r="U22" s="12">
        <f t="shared" si="13"/>
        <v>0</v>
      </c>
      <c r="V22" s="12">
        <f t="shared" si="13"/>
        <v>0</v>
      </c>
      <c r="W22" s="12">
        <f t="shared" si="13"/>
        <v>0</v>
      </c>
    </row>
    <row r="23" spans="2:23">
      <c r="B23" s="119" t="s">
        <v>61</v>
      </c>
      <c r="C23" s="123" t="s">
        <v>62</v>
      </c>
      <c r="D23" s="116" t="s">
        <v>59</v>
      </c>
      <c r="E23" s="121">
        <v>12329849.5</v>
      </c>
      <c r="F23" s="216">
        <v>12808143.689999999</v>
      </c>
      <c r="G23" s="12">
        <f t="shared" ref="G23:V26" si="14">F23+F23*0.05</f>
        <v>13448550.874499999</v>
      </c>
      <c r="H23" s="12">
        <f t="shared" si="14"/>
        <v>14120978.418225</v>
      </c>
      <c r="I23" s="12">
        <f t="shared" si="14"/>
        <v>14827027.33913625</v>
      </c>
      <c r="J23" s="12">
        <f t="shared" si="14"/>
        <v>15568378.706093064</v>
      </c>
      <c r="K23" s="12">
        <f t="shared" si="14"/>
        <v>16346797.641397716</v>
      </c>
      <c r="L23" s="12">
        <f t="shared" si="14"/>
        <v>17164137.523467604</v>
      </c>
      <c r="M23" s="12">
        <f t="shared" si="14"/>
        <v>18022344.399640985</v>
      </c>
      <c r="N23" s="12">
        <f t="shared" si="14"/>
        <v>18923461.619623035</v>
      </c>
      <c r="O23" s="12">
        <f t="shared" si="14"/>
        <v>19869634.700604185</v>
      </c>
      <c r="P23" s="12">
        <f t="shared" si="14"/>
        <v>20863116.435634393</v>
      </c>
      <c r="Q23" s="12">
        <f t="shared" si="14"/>
        <v>21906272.257416114</v>
      </c>
      <c r="R23" s="12">
        <f t="shared" si="14"/>
        <v>23001585.870286919</v>
      </c>
      <c r="S23" s="12">
        <f t="shared" si="14"/>
        <v>24151665.163801264</v>
      </c>
      <c r="T23" s="12">
        <f t="shared" si="14"/>
        <v>25359248.421991326</v>
      </c>
      <c r="U23" s="12">
        <f t="shared" si="14"/>
        <v>26627210.843090892</v>
      </c>
      <c r="V23" s="12">
        <f t="shared" si="14"/>
        <v>27958571.385245435</v>
      </c>
      <c r="W23" s="12">
        <f t="shared" si="13"/>
        <v>29356499.954507709</v>
      </c>
    </row>
    <row r="24" spans="2:23" ht="26.25">
      <c r="B24" s="119" t="s">
        <v>63</v>
      </c>
      <c r="C24" s="123" t="s">
        <v>64</v>
      </c>
      <c r="D24" s="116" t="s">
        <v>59</v>
      </c>
      <c r="E24" s="121">
        <v>-78699.34</v>
      </c>
      <c r="F24" s="213">
        <v>-20015.22</v>
      </c>
      <c r="G24" s="12">
        <f t="shared" si="14"/>
        <v>-21015.981</v>
      </c>
      <c r="H24" s="12">
        <f t="shared" si="13"/>
        <v>-22066.780050000001</v>
      </c>
      <c r="I24" s="12">
        <f t="shared" si="13"/>
        <v>-23170.119052500002</v>
      </c>
      <c r="J24" s="12">
        <f t="shared" si="13"/>
        <v>-24328.625005125003</v>
      </c>
      <c r="K24" s="12">
        <f t="shared" si="13"/>
        <v>-25545.056255381252</v>
      </c>
      <c r="L24" s="12">
        <f t="shared" si="13"/>
        <v>-26822.309068150316</v>
      </c>
      <c r="M24" s="12">
        <f t="shared" si="13"/>
        <v>-28163.424521557834</v>
      </c>
      <c r="N24" s="12">
        <f t="shared" si="13"/>
        <v>-29571.595747635725</v>
      </c>
      <c r="O24" s="12">
        <f t="shared" si="13"/>
        <v>-31050.175535017512</v>
      </c>
      <c r="P24" s="12">
        <f t="shared" si="13"/>
        <v>-32602.684311768389</v>
      </c>
      <c r="Q24" s="12">
        <f t="shared" si="13"/>
        <v>-34232.818527356809</v>
      </c>
      <c r="R24" s="12">
        <f t="shared" si="13"/>
        <v>-35944.459453724652</v>
      </c>
      <c r="S24" s="12">
        <f t="shared" si="13"/>
        <v>-37741.682426410887</v>
      </c>
      <c r="T24" s="12">
        <f t="shared" si="13"/>
        <v>-39628.766547731429</v>
      </c>
      <c r="U24" s="12">
        <f t="shared" si="13"/>
        <v>-41610.204875117997</v>
      </c>
      <c r="V24" s="12">
        <f t="shared" si="13"/>
        <v>-43690.715118873894</v>
      </c>
      <c r="W24" s="12">
        <f t="shared" si="13"/>
        <v>-45875.25087481759</v>
      </c>
    </row>
    <row r="25" spans="2:23">
      <c r="B25" s="119" t="s">
        <v>65</v>
      </c>
      <c r="C25" s="123" t="s">
        <v>66</v>
      </c>
      <c r="D25" s="116" t="s">
        <v>59</v>
      </c>
      <c r="E25" s="121">
        <v>57691.45</v>
      </c>
      <c r="F25" s="214">
        <v>48351.99</v>
      </c>
      <c r="G25" s="12">
        <f t="shared" si="14"/>
        <v>50769.589499999995</v>
      </c>
      <c r="H25" s="12">
        <f t="shared" si="13"/>
        <v>53308.068974999995</v>
      </c>
      <c r="I25" s="12">
        <f t="shared" si="13"/>
        <v>55973.472423749998</v>
      </c>
      <c r="J25" s="12">
        <f t="shared" si="13"/>
        <v>58772.146044937501</v>
      </c>
      <c r="K25" s="12">
        <f t="shared" si="13"/>
        <v>61710.753347184378</v>
      </c>
      <c r="L25" s="12">
        <f t="shared" si="13"/>
        <v>64796.291014543596</v>
      </c>
      <c r="M25" s="12">
        <f t="shared" si="13"/>
        <v>68036.105565270773</v>
      </c>
      <c r="N25" s="12">
        <f t="shared" si="13"/>
        <v>71437.910843534308</v>
      </c>
      <c r="O25" s="12">
        <f t="shared" si="13"/>
        <v>75009.806385711025</v>
      </c>
      <c r="P25" s="12">
        <f t="shared" si="13"/>
        <v>78760.296704996581</v>
      </c>
      <c r="Q25" s="12">
        <f t="shared" si="13"/>
        <v>82698.311540246417</v>
      </c>
      <c r="R25" s="12">
        <f t="shared" si="13"/>
        <v>86833.227117258735</v>
      </c>
      <c r="S25" s="12">
        <f t="shared" si="13"/>
        <v>91174.888473121668</v>
      </c>
      <c r="T25" s="12">
        <f t="shared" si="13"/>
        <v>95733.632896777752</v>
      </c>
      <c r="U25" s="12">
        <f t="shared" si="13"/>
        <v>100520.31454161664</v>
      </c>
      <c r="V25" s="12">
        <f t="shared" si="13"/>
        <v>105546.33026869746</v>
      </c>
      <c r="W25" s="12">
        <f t="shared" si="13"/>
        <v>110823.64678213233</v>
      </c>
    </row>
    <row r="26" spans="2:23">
      <c r="B26" s="119" t="s">
        <v>67</v>
      </c>
      <c r="C26" s="123" t="s">
        <v>68</v>
      </c>
      <c r="D26" s="116" t="s">
        <v>59</v>
      </c>
      <c r="E26" s="121">
        <v>565202.56999999995</v>
      </c>
      <c r="F26" s="183">
        <v>499051</v>
      </c>
      <c r="G26" s="12">
        <f t="shared" si="14"/>
        <v>524003.55</v>
      </c>
      <c r="H26" s="12">
        <f t="shared" si="13"/>
        <v>550203.72750000004</v>
      </c>
      <c r="I26" s="12">
        <f t="shared" si="13"/>
        <v>577713.91387500009</v>
      </c>
      <c r="J26" s="12">
        <f t="shared" si="13"/>
        <v>606599.60956875014</v>
      </c>
      <c r="K26" s="12">
        <f t="shared" si="13"/>
        <v>636929.59004718764</v>
      </c>
      <c r="L26" s="12">
        <f t="shared" si="13"/>
        <v>668776.06954954704</v>
      </c>
      <c r="M26" s="12">
        <f t="shared" si="13"/>
        <v>702214.87302702444</v>
      </c>
      <c r="N26" s="12">
        <f t="shared" si="13"/>
        <v>737325.61667837563</v>
      </c>
      <c r="O26" s="12">
        <f t="shared" si="13"/>
        <v>774191.89751229447</v>
      </c>
      <c r="P26" s="12">
        <f t="shared" si="13"/>
        <v>812901.49238790921</v>
      </c>
      <c r="Q26" s="12">
        <f t="shared" si="13"/>
        <v>853546.56700730463</v>
      </c>
      <c r="R26" s="12">
        <f t="shared" si="13"/>
        <v>896223.89535766991</v>
      </c>
      <c r="S26" s="12">
        <f t="shared" si="13"/>
        <v>941035.09012555343</v>
      </c>
      <c r="T26" s="12">
        <f t="shared" si="13"/>
        <v>988086.84463183116</v>
      </c>
      <c r="U26" s="12">
        <f t="shared" si="13"/>
        <v>1037491.1868634227</v>
      </c>
      <c r="V26" s="12">
        <f t="shared" si="13"/>
        <v>1089365.7462065939</v>
      </c>
      <c r="W26" s="12">
        <f t="shared" si="13"/>
        <v>1143834.0335169237</v>
      </c>
    </row>
    <row r="27" spans="2:23">
      <c r="B27" s="114" t="s">
        <v>69</v>
      </c>
      <c r="C27" s="124" t="s">
        <v>70</v>
      </c>
      <c r="D27" s="116" t="s">
        <v>59</v>
      </c>
      <c r="E27" s="117">
        <f>SUM(E28:E36)-E32</f>
        <v>12126184.76</v>
      </c>
      <c r="F27" s="117">
        <f>SUM(F28:F36)-F32</f>
        <v>12841416.809999999</v>
      </c>
      <c r="G27" s="117">
        <f>SUM(G28:G36)-G32</f>
        <v>13373732.851499999</v>
      </c>
      <c r="H27" s="117">
        <f t="shared" ref="H27:W27" si="15">SUM(H28:H36)-H32</f>
        <v>16084681.74978249</v>
      </c>
      <c r="I27" s="117">
        <f t="shared" si="15"/>
        <v>14648210.866416628</v>
      </c>
      <c r="J27" s="117">
        <f t="shared" si="15"/>
        <v>15286520.388944831</v>
      </c>
      <c r="K27" s="117">
        <f t="shared" si="15"/>
        <v>15961450.438639076</v>
      </c>
      <c r="L27" s="117">
        <f t="shared" si="15"/>
        <v>16674596.789305687</v>
      </c>
      <c r="M27" s="117">
        <f t="shared" si="15"/>
        <v>17427646.766068894</v>
      </c>
      <c r="N27" s="117">
        <f t="shared" si="15"/>
        <v>18222383.234805368</v>
      </c>
      <c r="O27" s="117">
        <f t="shared" si="15"/>
        <v>19060688.820457008</v>
      </c>
      <c r="P27" s="117">
        <f t="shared" si="15"/>
        <v>19944550.364195671</v>
      </c>
      <c r="Q27" s="117">
        <f t="shared" si="15"/>
        <v>20876063.62998547</v>
      </c>
      <c r="R27" s="117">
        <f t="shared" si="15"/>
        <v>21857438.271685757</v>
      </c>
      <c r="S27" s="117">
        <f t="shared" si="15"/>
        <v>22891003.072461005</v>
      </c>
      <c r="T27" s="117">
        <f t="shared" si="15"/>
        <v>23979211.468915474</v>
      </c>
      <c r="U27" s="117">
        <f t="shared" si="15"/>
        <v>25124647.373051096</v>
      </c>
      <c r="V27" s="117">
        <f t="shared" si="15"/>
        <v>26330031.305859003</v>
      </c>
      <c r="W27" s="117">
        <f t="shared" si="15"/>
        <v>27598226.857099541</v>
      </c>
    </row>
    <row r="28" spans="2:23">
      <c r="B28" s="119" t="s">
        <v>71</v>
      </c>
      <c r="C28" s="120" t="s">
        <v>72</v>
      </c>
      <c r="D28" s="116" t="s">
        <v>59</v>
      </c>
      <c r="E28" s="121">
        <v>915904.93</v>
      </c>
      <c r="F28" s="215">
        <v>1097547.99</v>
      </c>
      <c r="G28" s="215">
        <f>F28-F28*0.05</f>
        <v>1042670.5904999999</v>
      </c>
      <c r="H28" s="215">
        <f t="shared" ref="H28:W28" si="16">G28-G28*0.05</f>
        <v>990537.06097499991</v>
      </c>
      <c r="I28" s="215">
        <f t="shared" si="16"/>
        <v>941010.20792624995</v>
      </c>
      <c r="J28" s="215">
        <f t="shared" si="16"/>
        <v>893959.69752993749</v>
      </c>
      <c r="K28" s="215">
        <f t="shared" si="16"/>
        <v>849261.71265344066</v>
      </c>
      <c r="L28" s="215">
        <f t="shared" si="16"/>
        <v>806798.62702076859</v>
      </c>
      <c r="M28" s="215">
        <f t="shared" si="16"/>
        <v>766458.69566973019</v>
      </c>
      <c r="N28" s="215">
        <f t="shared" si="16"/>
        <v>728135.76088624366</v>
      </c>
      <c r="O28" s="215">
        <f t="shared" si="16"/>
        <v>691728.97284193151</v>
      </c>
      <c r="P28" s="215">
        <f t="shared" si="16"/>
        <v>657142.52419983491</v>
      </c>
      <c r="Q28" s="215">
        <f t="shared" si="16"/>
        <v>624285.39798984316</v>
      </c>
      <c r="R28" s="215">
        <f t="shared" si="16"/>
        <v>593071.12809035101</v>
      </c>
      <c r="S28" s="215">
        <f t="shared" si="16"/>
        <v>563417.57168583351</v>
      </c>
      <c r="T28" s="215">
        <f t="shared" si="16"/>
        <v>535246.69310154184</v>
      </c>
      <c r="U28" s="215">
        <f t="shared" si="16"/>
        <v>508484.35844646476</v>
      </c>
      <c r="V28" s="215">
        <f t="shared" si="16"/>
        <v>483060.14052414149</v>
      </c>
      <c r="W28" s="215">
        <f t="shared" si="16"/>
        <v>458907.13349793444</v>
      </c>
    </row>
    <row r="29" spans="2:23">
      <c r="B29" s="119" t="s">
        <v>63</v>
      </c>
      <c r="C29" s="120" t="s">
        <v>73</v>
      </c>
      <c r="D29" s="116" t="s">
        <v>59</v>
      </c>
      <c r="E29" s="121">
        <v>5323647.22</v>
      </c>
      <c r="F29" s="215">
        <v>5162923.49</v>
      </c>
      <c r="G29" s="215">
        <f t="shared" ref="G29:V64" si="17">F29+F29*0.05</f>
        <v>5421069.6645</v>
      </c>
      <c r="H29" s="219">
        <f>(G29+G29*0.05)+J14</f>
        <v>7838652.4624824906</v>
      </c>
      <c r="I29" s="215">
        <f>(H29+H29*0.05)-J14</f>
        <v>6084055.7708491245</v>
      </c>
      <c r="J29" s="215">
        <f t="shared" si="17"/>
        <v>6388258.5593915805</v>
      </c>
      <c r="K29" s="215">
        <f t="shared" si="17"/>
        <v>6707671.4873611592</v>
      </c>
      <c r="L29" s="215">
        <f t="shared" si="17"/>
        <v>7043055.0617292169</v>
      </c>
      <c r="M29" s="215">
        <f t="shared" si="17"/>
        <v>7395207.8148156777</v>
      </c>
      <c r="N29" s="215">
        <f t="shared" si="17"/>
        <v>7764968.2055564616</v>
      </c>
      <c r="O29" s="215">
        <f t="shared" si="17"/>
        <v>8153216.6158342846</v>
      </c>
      <c r="P29" s="215">
        <f t="shared" si="17"/>
        <v>8560877.4466259982</v>
      </c>
      <c r="Q29" s="215">
        <f t="shared" si="17"/>
        <v>8988921.318957299</v>
      </c>
      <c r="R29" s="215">
        <f t="shared" si="17"/>
        <v>9438367.3849051632</v>
      </c>
      <c r="S29" s="215">
        <f t="shared" si="17"/>
        <v>9910285.7541504204</v>
      </c>
      <c r="T29" s="215">
        <f t="shared" si="17"/>
        <v>10405800.041857941</v>
      </c>
      <c r="U29" s="215">
        <f t="shared" si="17"/>
        <v>10926090.043950839</v>
      </c>
      <c r="V29" s="215">
        <f t="shared" si="17"/>
        <v>11472394.54614838</v>
      </c>
      <c r="W29" s="215">
        <f t="shared" ref="H29:W43" si="18">V29+V29*0.05</f>
        <v>12046014.273455799</v>
      </c>
    </row>
    <row r="30" spans="2:23">
      <c r="B30" s="119" t="s">
        <v>65</v>
      </c>
      <c r="C30" s="120" t="s">
        <v>74</v>
      </c>
      <c r="D30" s="116" t="s">
        <v>59</v>
      </c>
      <c r="E30" s="121">
        <v>479688.32</v>
      </c>
      <c r="F30" s="215">
        <v>1110584.07</v>
      </c>
      <c r="G30" s="215">
        <f t="shared" si="17"/>
        <v>1166113.2735000001</v>
      </c>
      <c r="H30" s="215">
        <f t="shared" si="18"/>
        <v>1224418.9371750001</v>
      </c>
      <c r="I30" s="219">
        <f>(H30+H30*0.05)+I153</f>
        <v>1290517.9340337501</v>
      </c>
      <c r="J30" s="219">
        <f t="shared" si="18"/>
        <v>1355043.8307354376</v>
      </c>
      <c r="K30" s="219">
        <f t="shared" si="18"/>
        <v>1422796.0222722094</v>
      </c>
      <c r="L30" s="219">
        <f t="shared" si="18"/>
        <v>1493935.8233858198</v>
      </c>
      <c r="M30" s="219">
        <f t="shared" si="18"/>
        <v>1568632.6145551107</v>
      </c>
      <c r="N30" s="219">
        <f t="shared" si="18"/>
        <v>1647064.2452828663</v>
      </c>
      <c r="O30" s="219">
        <f t="shared" si="18"/>
        <v>1729417.4575470097</v>
      </c>
      <c r="P30" s="219">
        <f t="shared" si="18"/>
        <v>1815888.3304243602</v>
      </c>
      <c r="Q30" s="219">
        <f t="shared" si="18"/>
        <v>1906682.7469455781</v>
      </c>
      <c r="R30" s="219">
        <f t="shared" si="18"/>
        <v>2002016.884292857</v>
      </c>
      <c r="S30" s="219">
        <f t="shared" si="18"/>
        <v>2102117.7285074997</v>
      </c>
      <c r="T30" s="219">
        <f t="shared" si="18"/>
        <v>2207223.6149328747</v>
      </c>
      <c r="U30" s="219">
        <f t="shared" si="18"/>
        <v>2317584.7956795185</v>
      </c>
      <c r="V30" s="219">
        <f t="shared" si="18"/>
        <v>2433464.0354634942</v>
      </c>
      <c r="W30" s="219">
        <f t="shared" si="18"/>
        <v>2555137.2372366688</v>
      </c>
    </row>
    <row r="31" spans="2:23">
      <c r="B31" s="119" t="s">
        <v>67</v>
      </c>
      <c r="C31" s="120" t="s">
        <v>75</v>
      </c>
      <c r="D31" s="116" t="s">
        <v>59</v>
      </c>
      <c r="E31" s="121">
        <v>1844046.9</v>
      </c>
      <c r="F31" s="215">
        <v>2164280.63</v>
      </c>
      <c r="G31" s="215">
        <f t="shared" si="17"/>
        <v>2272494.6614999999</v>
      </c>
      <c r="H31" s="215">
        <f t="shared" si="18"/>
        <v>2386119.3945749998</v>
      </c>
      <c r="I31" s="215">
        <f t="shared" si="18"/>
        <v>2505425.36430375</v>
      </c>
      <c r="J31" s="215">
        <f t="shared" si="18"/>
        <v>2630696.6325189373</v>
      </c>
      <c r="K31" s="215">
        <f t="shared" si="18"/>
        <v>2762231.4641448841</v>
      </c>
      <c r="L31" s="215">
        <f t="shared" si="18"/>
        <v>2900343.0373521284</v>
      </c>
      <c r="M31" s="215">
        <f t="shared" si="18"/>
        <v>3045360.1892197346</v>
      </c>
      <c r="N31" s="215">
        <f t="shared" si="18"/>
        <v>3197628.1986807212</v>
      </c>
      <c r="O31" s="215">
        <f t="shared" si="18"/>
        <v>3357509.6086147572</v>
      </c>
      <c r="P31" s="215">
        <f t="shared" si="18"/>
        <v>3525385.0890454953</v>
      </c>
      <c r="Q31" s="215">
        <f t="shared" si="18"/>
        <v>3701654.3434977699</v>
      </c>
      <c r="R31" s="215">
        <f t="shared" si="18"/>
        <v>3886737.0606726585</v>
      </c>
      <c r="S31" s="215">
        <f t="shared" si="18"/>
        <v>4081073.9137062915</v>
      </c>
      <c r="T31" s="215">
        <f t="shared" si="18"/>
        <v>4285127.6093916064</v>
      </c>
      <c r="U31" s="215">
        <f t="shared" si="18"/>
        <v>4499383.9898611866</v>
      </c>
      <c r="V31" s="215">
        <f t="shared" si="18"/>
        <v>4724353.1893542456</v>
      </c>
      <c r="W31" s="215">
        <f t="shared" si="18"/>
        <v>4960570.8488219576</v>
      </c>
    </row>
    <row r="32" spans="2:23">
      <c r="B32" s="119"/>
      <c r="C32" s="120" t="s">
        <v>76</v>
      </c>
      <c r="D32" s="116" t="s">
        <v>59</v>
      </c>
      <c r="E32" s="121">
        <v>241.23</v>
      </c>
      <c r="F32" s="183">
        <v>819</v>
      </c>
      <c r="G32" s="215">
        <f t="shared" si="17"/>
        <v>859.95</v>
      </c>
      <c r="H32" s="215">
        <f t="shared" si="18"/>
        <v>902.94749999999999</v>
      </c>
      <c r="I32" s="215">
        <f t="shared" si="18"/>
        <v>948.094875</v>
      </c>
      <c r="J32" s="215">
        <f t="shared" si="18"/>
        <v>995.49961874999997</v>
      </c>
      <c r="K32" s="215">
        <f t="shared" si="18"/>
        <v>1045.2745996875001</v>
      </c>
      <c r="L32" s="215">
        <f t="shared" si="18"/>
        <v>1097.5383296718751</v>
      </c>
      <c r="M32" s="215">
        <f t="shared" si="18"/>
        <v>1152.4152461554688</v>
      </c>
      <c r="N32" s="215">
        <f t="shared" si="18"/>
        <v>1210.0360084632423</v>
      </c>
      <c r="O32" s="215">
        <f t="shared" si="18"/>
        <v>1270.5378088864045</v>
      </c>
      <c r="P32" s="215">
        <f t="shared" si="18"/>
        <v>1334.0646993307248</v>
      </c>
      <c r="Q32" s="215">
        <f t="shared" si="18"/>
        <v>1400.767934297261</v>
      </c>
      <c r="R32" s="215">
        <f t="shared" si="18"/>
        <v>1470.806331012124</v>
      </c>
      <c r="S32" s="215">
        <f t="shared" si="18"/>
        <v>1544.3466475627301</v>
      </c>
      <c r="T32" s="215">
        <f t="shared" si="18"/>
        <v>1621.5639799408666</v>
      </c>
      <c r="U32" s="215">
        <f t="shared" si="18"/>
        <v>1702.6421789379099</v>
      </c>
      <c r="V32" s="215">
        <f t="shared" si="18"/>
        <v>1787.7742878848053</v>
      </c>
      <c r="W32" s="215">
        <f t="shared" si="18"/>
        <v>1877.1630022790455</v>
      </c>
    </row>
    <row r="33" spans="2:23">
      <c r="B33" s="119" t="s">
        <v>77</v>
      </c>
      <c r="C33" s="120" t="s">
        <v>78</v>
      </c>
      <c r="D33" s="116" t="s">
        <v>59</v>
      </c>
      <c r="E33" s="121">
        <v>2376011.2999999998</v>
      </c>
      <c r="F33" s="215">
        <v>2263020.61</v>
      </c>
      <c r="G33" s="215">
        <f t="shared" si="17"/>
        <v>2376171.6404999997</v>
      </c>
      <c r="H33" s="215">
        <f t="shared" si="18"/>
        <v>2494980.2225249996</v>
      </c>
      <c r="I33" s="215">
        <f t="shared" si="18"/>
        <v>2619729.2336512497</v>
      </c>
      <c r="J33" s="215">
        <f t="shared" si="18"/>
        <v>2750715.6953338124</v>
      </c>
      <c r="K33" s="215">
        <f t="shared" si="18"/>
        <v>2888251.4801005032</v>
      </c>
      <c r="L33" s="215">
        <f t="shared" si="18"/>
        <v>3032664.0541055282</v>
      </c>
      <c r="M33" s="215">
        <f t="shared" si="18"/>
        <v>3184297.2568108044</v>
      </c>
      <c r="N33" s="215">
        <f t="shared" si="18"/>
        <v>3343512.1196513446</v>
      </c>
      <c r="O33" s="215">
        <f t="shared" si="18"/>
        <v>3510687.7256339118</v>
      </c>
      <c r="P33" s="215">
        <f t="shared" si="18"/>
        <v>3686222.1119156075</v>
      </c>
      <c r="Q33" s="215">
        <f t="shared" si="18"/>
        <v>3870533.217511388</v>
      </c>
      <c r="R33" s="215">
        <f t="shared" si="18"/>
        <v>4064059.8783869576</v>
      </c>
      <c r="S33" s="215">
        <f t="shared" si="18"/>
        <v>4267262.8723063059</v>
      </c>
      <c r="T33" s="215">
        <f t="shared" si="18"/>
        <v>4480626.0159216216</v>
      </c>
      <c r="U33" s="215">
        <f t="shared" si="18"/>
        <v>4704657.3167177029</v>
      </c>
      <c r="V33" s="215">
        <f t="shared" si="18"/>
        <v>4939890.1825535884</v>
      </c>
      <c r="W33" s="215">
        <f t="shared" si="18"/>
        <v>5186884.6916812677</v>
      </c>
    </row>
    <row r="34" spans="2:23">
      <c r="B34" s="119" t="s">
        <v>79</v>
      </c>
      <c r="C34" s="123" t="s">
        <v>80</v>
      </c>
      <c r="D34" s="116" t="s">
        <v>59</v>
      </c>
      <c r="E34" s="121">
        <v>707332.06</v>
      </c>
      <c r="F34" s="215">
        <v>637071.77</v>
      </c>
      <c r="G34" s="215">
        <f t="shared" si="17"/>
        <v>668925.35849999997</v>
      </c>
      <c r="H34" s="215">
        <f t="shared" si="18"/>
        <v>702371.62642500002</v>
      </c>
      <c r="I34" s="215">
        <f t="shared" si="18"/>
        <v>737490.20774624997</v>
      </c>
      <c r="J34" s="215">
        <f t="shared" si="18"/>
        <v>774364.71813356248</v>
      </c>
      <c r="K34" s="215">
        <f t="shared" si="18"/>
        <v>813082.95404024061</v>
      </c>
      <c r="L34" s="215">
        <f t="shared" si="18"/>
        <v>853737.10174225271</v>
      </c>
      <c r="M34" s="215">
        <f t="shared" si="18"/>
        <v>896423.95682936534</v>
      </c>
      <c r="N34" s="215">
        <f t="shared" si="18"/>
        <v>941245.15467083361</v>
      </c>
      <c r="O34" s="215">
        <f t="shared" si="18"/>
        <v>988307.41240437527</v>
      </c>
      <c r="P34" s="215">
        <f t="shared" si="18"/>
        <v>1037722.7830245941</v>
      </c>
      <c r="Q34" s="215">
        <f t="shared" si="18"/>
        <v>1089608.9221758237</v>
      </c>
      <c r="R34" s="215">
        <f t="shared" si="18"/>
        <v>1144089.368284615</v>
      </c>
      <c r="S34" s="215">
        <f t="shared" si="18"/>
        <v>1201293.8366988457</v>
      </c>
      <c r="T34" s="215">
        <f t="shared" si="18"/>
        <v>1261358.5285337879</v>
      </c>
      <c r="U34" s="215">
        <f t="shared" si="18"/>
        <v>1324426.4549604773</v>
      </c>
      <c r="V34" s="215">
        <f t="shared" si="18"/>
        <v>1390647.7777085011</v>
      </c>
      <c r="W34" s="215">
        <f t="shared" si="18"/>
        <v>1460180.166593926</v>
      </c>
    </row>
    <row r="35" spans="2:23">
      <c r="B35" s="119" t="s">
        <v>81</v>
      </c>
      <c r="C35" s="120" t="s">
        <v>82</v>
      </c>
      <c r="D35" s="116" t="s">
        <v>59</v>
      </c>
      <c r="E35" s="121">
        <v>58903.05</v>
      </c>
      <c r="F35" s="215">
        <v>46447.93</v>
      </c>
      <c r="G35" s="215">
        <f t="shared" si="17"/>
        <v>48770.326500000003</v>
      </c>
      <c r="H35" s="215">
        <f t="shared" si="18"/>
        <v>51208.842825</v>
      </c>
      <c r="I35" s="215">
        <f t="shared" si="18"/>
        <v>53769.284966250001</v>
      </c>
      <c r="J35" s="215">
        <f t="shared" si="18"/>
        <v>56457.7492145625</v>
      </c>
      <c r="K35" s="215">
        <f t="shared" si="18"/>
        <v>59280.636675290625</v>
      </c>
      <c r="L35" s="215">
        <f t="shared" si="18"/>
        <v>62244.668509055155</v>
      </c>
      <c r="M35" s="215">
        <f t="shared" si="18"/>
        <v>65356.901934507914</v>
      </c>
      <c r="N35" s="215">
        <f t="shared" si="18"/>
        <v>68624.747031233303</v>
      </c>
      <c r="O35" s="215">
        <f t="shared" si="18"/>
        <v>72055.984382794966</v>
      </c>
      <c r="P35" s="215">
        <f t="shared" si="18"/>
        <v>75658.783601934716</v>
      </c>
      <c r="Q35" s="215">
        <f t="shared" si="18"/>
        <v>79441.722782031458</v>
      </c>
      <c r="R35" s="215">
        <f t="shared" si="18"/>
        <v>83413.808921133037</v>
      </c>
      <c r="S35" s="215">
        <f t="shared" si="18"/>
        <v>87584.499367189695</v>
      </c>
      <c r="T35" s="215">
        <f t="shared" si="18"/>
        <v>91963.724335549181</v>
      </c>
      <c r="U35" s="215">
        <f t="shared" si="18"/>
        <v>96561.910552326633</v>
      </c>
      <c r="V35" s="215">
        <f t="shared" si="18"/>
        <v>101390.00607994296</v>
      </c>
      <c r="W35" s="215">
        <f t="shared" si="18"/>
        <v>106459.50638394011</v>
      </c>
    </row>
    <row r="36" spans="2:23">
      <c r="B36" s="119" t="s">
        <v>83</v>
      </c>
      <c r="C36" s="123" t="s">
        <v>84</v>
      </c>
      <c r="D36" s="116" t="s">
        <v>59</v>
      </c>
      <c r="E36" s="121">
        <v>420650.98</v>
      </c>
      <c r="F36" s="215">
        <v>359540.32</v>
      </c>
      <c r="G36" s="215">
        <f t="shared" si="17"/>
        <v>377517.33600000001</v>
      </c>
      <c r="H36" s="215">
        <f t="shared" si="18"/>
        <v>396393.20280000003</v>
      </c>
      <c r="I36" s="215">
        <f t="shared" si="18"/>
        <v>416212.86294000002</v>
      </c>
      <c r="J36" s="215">
        <f t="shared" si="18"/>
        <v>437023.50608700002</v>
      </c>
      <c r="K36" s="215">
        <f t="shared" si="18"/>
        <v>458874.68139134999</v>
      </c>
      <c r="L36" s="215">
        <f t="shared" si="18"/>
        <v>481818.41546091752</v>
      </c>
      <c r="M36" s="215">
        <f t="shared" si="18"/>
        <v>505909.33623396337</v>
      </c>
      <c r="N36" s="215">
        <f t="shared" si="18"/>
        <v>531204.80304566154</v>
      </c>
      <c r="O36" s="215">
        <f t="shared" si="18"/>
        <v>557765.04319794464</v>
      </c>
      <c r="P36" s="215">
        <f t="shared" si="18"/>
        <v>585653.29535784188</v>
      </c>
      <c r="Q36" s="215">
        <f t="shared" si="18"/>
        <v>614935.96012573398</v>
      </c>
      <c r="R36" s="215">
        <f t="shared" si="18"/>
        <v>645682.75813202071</v>
      </c>
      <c r="S36" s="215">
        <f t="shared" si="18"/>
        <v>677966.89603862178</v>
      </c>
      <c r="T36" s="215">
        <f t="shared" si="18"/>
        <v>711865.24084055284</v>
      </c>
      <c r="U36" s="215">
        <f t="shared" si="18"/>
        <v>747458.50288258051</v>
      </c>
      <c r="V36" s="215">
        <f t="shared" si="18"/>
        <v>784831.42802670947</v>
      </c>
      <c r="W36" s="215">
        <f t="shared" si="18"/>
        <v>824072.999428045</v>
      </c>
    </row>
    <row r="37" spans="2:23">
      <c r="B37" s="114" t="s">
        <v>85</v>
      </c>
      <c r="C37" s="124" t="s">
        <v>86</v>
      </c>
      <c r="D37" s="116" t="s">
        <v>59</v>
      </c>
      <c r="E37" s="117">
        <f>E21-E27</f>
        <v>747859.41999999993</v>
      </c>
      <c r="F37" s="117">
        <f>F21-F27</f>
        <v>494114.65000000037</v>
      </c>
      <c r="G37" s="117">
        <f>G21-G27</f>
        <v>628575.18150000088</v>
      </c>
      <c r="H37" s="117">
        <f t="shared" ref="H37:W37" si="19">H21-H27</f>
        <v>-1382258.3151324894</v>
      </c>
      <c r="I37" s="117">
        <f t="shared" si="19"/>
        <v>789333.7399658747</v>
      </c>
      <c r="J37" s="117">
        <f t="shared" si="19"/>
        <v>922901.44775679708</v>
      </c>
      <c r="K37" s="117">
        <f t="shared" si="19"/>
        <v>1058442.4898976292</v>
      </c>
      <c r="L37" s="117">
        <f t="shared" si="19"/>
        <v>1196290.7856578566</v>
      </c>
      <c r="M37" s="117">
        <f t="shared" si="19"/>
        <v>1336785.1876428276</v>
      </c>
      <c r="N37" s="117">
        <f t="shared" si="19"/>
        <v>1480270.3165919408</v>
      </c>
      <c r="O37" s="117">
        <f t="shared" si="19"/>
        <v>1627097.4085101672</v>
      </c>
      <c r="P37" s="117">
        <f t="shared" si="19"/>
        <v>1777625.1762198582</v>
      </c>
      <c r="Q37" s="117">
        <f t="shared" si="19"/>
        <v>1932220.6874508373</v>
      </c>
      <c r="R37" s="117">
        <f t="shared" si="19"/>
        <v>2091260.2616223656</v>
      </c>
      <c r="S37" s="117">
        <f t="shared" si="19"/>
        <v>2255130.3875125237</v>
      </c>
      <c r="T37" s="117">
        <f t="shared" si="19"/>
        <v>2424228.6640567295</v>
      </c>
      <c r="U37" s="117">
        <f t="shared" si="19"/>
        <v>2598964.766569715</v>
      </c>
      <c r="V37" s="117">
        <f t="shared" si="19"/>
        <v>2779761.4407428466</v>
      </c>
      <c r="W37" s="117">
        <f t="shared" si="19"/>
        <v>2967055.5268324092</v>
      </c>
    </row>
    <row r="38" spans="2:23">
      <c r="B38" s="114" t="s">
        <v>87</v>
      </c>
      <c r="C38" s="124" t="s">
        <v>88</v>
      </c>
      <c r="D38" s="116" t="s">
        <v>59</v>
      </c>
      <c r="E38" s="117">
        <f>SUM(E39:E41)</f>
        <v>286591.42000000004</v>
      </c>
      <c r="F38" s="117">
        <f>SUM(F39:F41)</f>
        <v>269101.90000000002</v>
      </c>
      <c r="G38" s="117">
        <f>SUM(G39:G41)</f>
        <v>282556.995</v>
      </c>
      <c r="H38" s="117">
        <f t="shared" ref="H38:W38" si="20">SUM(H39:H41)</f>
        <v>2066248.8147938666</v>
      </c>
      <c r="I38" s="117">
        <f t="shared" si="20"/>
        <v>311519.08698750002</v>
      </c>
      <c r="J38" s="117">
        <f t="shared" si="20"/>
        <v>327095.041336875</v>
      </c>
      <c r="K38" s="117">
        <f t="shared" si="20"/>
        <v>343449.7934037188</v>
      </c>
      <c r="L38" s="117">
        <f t="shared" si="20"/>
        <v>360622.28307390469</v>
      </c>
      <c r="M38" s="117">
        <f t="shared" si="20"/>
        <v>378653.39722759993</v>
      </c>
      <c r="N38" s="117">
        <f t="shared" si="20"/>
        <v>397586.06708897994</v>
      </c>
      <c r="O38" s="117">
        <f t="shared" si="20"/>
        <v>417465.37044342887</v>
      </c>
      <c r="P38" s="117">
        <f t="shared" si="20"/>
        <v>438338.63896560034</v>
      </c>
      <c r="Q38" s="117">
        <f t="shared" si="20"/>
        <v>460255.57091388036</v>
      </c>
      <c r="R38" s="117">
        <f t="shared" si="20"/>
        <v>483268.34945957438</v>
      </c>
      <c r="S38" s="117">
        <f t="shared" si="20"/>
        <v>507431.76693255315</v>
      </c>
      <c r="T38" s="117">
        <f t="shared" si="20"/>
        <v>532803.3552791808</v>
      </c>
      <c r="U38" s="117">
        <f t="shared" si="20"/>
        <v>559443.52304313984</v>
      </c>
      <c r="V38" s="117">
        <f t="shared" si="20"/>
        <v>587415.69919529674</v>
      </c>
      <c r="W38" s="117">
        <f t="shared" si="20"/>
        <v>616786.48415506154</v>
      </c>
    </row>
    <row r="39" spans="2:23">
      <c r="B39" s="119" t="s">
        <v>61</v>
      </c>
      <c r="C39" s="123" t="s">
        <v>89</v>
      </c>
      <c r="D39" s="116" t="s">
        <v>59</v>
      </c>
      <c r="E39" s="121">
        <v>3428.02</v>
      </c>
      <c r="F39" s="215">
        <v>4029.64</v>
      </c>
      <c r="G39" s="215">
        <f t="shared" si="17"/>
        <v>4231.1220000000003</v>
      </c>
      <c r="H39" s="215">
        <f t="shared" si="18"/>
        <v>4442.6781000000001</v>
      </c>
      <c r="I39" s="215">
        <f t="shared" si="18"/>
        <v>4664.8120049999998</v>
      </c>
      <c r="J39" s="215">
        <f t="shared" si="18"/>
        <v>4898.0526052499999</v>
      </c>
      <c r="K39" s="215">
        <f t="shared" si="18"/>
        <v>5142.9552355124997</v>
      </c>
      <c r="L39" s="215">
        <f t="shared" si="18"/>
        <v>5400.1029972881242</v>
      </c>
      <c r="M39" s="215">
        <f t="shared" si="18"/>
        <v>5670.1081471525304</v>
      </c>
      <c r="N39" s="215">
        <f t="shared" si="18"/>
        <v>5953.613554510157</v>
      </c>
      <c r="O39" s="215">
        <f t="shared" si="18"/>
        <v>6251.2942322356648</v>
      </c>
      <c r="P39" s="215">
        <f t="shared" si="18"/>
        <v>6563.8589438474482</v>
      </c>
      <c r="Q39" s="215">
        <f t="shared" si="18"/>
        <v>6892.0518910398205</v>
      </c>
      <c r="R39" s="215">
        <f t="shared" si="18"/>
        <v>7236.6544855918119</v>
      </c>
      <c r="S39" s="215">
        <f t="shared" si="18"/>
        <v>7598.4872098714022</v>
      </c>
      <c r="T39" s="215">
        <f t="shared" si="18"/>
        <v>7978.4115703649722</v>
      </c>
      <c r="U39" s="215">
        <f t="shared" si="18"/>
        <v>8377.3321488832207</v>
      </c>
      <c r="V39" s="215">
        <f t="shared" si="18"/>
        <v>8796.1987563273815</v>
      </c>
      <c r="W39" s="215">
        <f t="shared" si="18"/>
        <v>9236.0086941437512</v>
      </c>
    </row>
    <row r="40" spans="2:23">
      <c r="B40" s="119" t="s">
        <v>63</v>
      </c>
      <c r="C40" s="120" t="s">
        <v>90</v>
      </c>
      <c r="D40" s="116" t="s">
        <v>59</v>
      </c>
      <c r="E40" s="121">
        <v>0</v>
      </c>
      <c r="F40" s="215">
        <v>0</v>
      </c>
      <c r="G40" s="215">
        <f t="shared" si="17"/>
        <v>0</v>
      </c>
      <c r="H40" s="219">
        <f>M14</f>
        <v>1769563.9700438667</v>
      </c>
      <c r="I40" s="215">
        <v>0</v>
      </c>
      <c r="J40" s="215">
        <f t="shared" si="18"/>
        <v>0</v>
      </c>
      <c r="K40" s="215">
        <f t="shared" si="18"/>
        <v>0</v>
      </c>
      <c r="L40" s="215">
        <f t="shared" si="18"/>
        <v>0</v>
      </c>
      <c r="M40" s="215">
        <f t="shared" si="18"/>
        <v>0</v>
      </c>
      <c r="N40" s="215">
        <f t="shared" si="18"/>
        <v>0</v>
      </c>
      <c r="O40" s="215">
        <f t="shared" si="18"/>
        <v>0</v>
      </c>
      <c r="P40" s="215">
        <f t="shared" si="18"/>
        <v>0</v>
      </c>
      <c r="Q40" s="215">
        <f t="shared" si="18"/>
        <v>0</v>
      </c>
      <c r="R40" s="215">
        <f t="shared" si="18"/>
        <v>0</v>
      </c>
      <c r="S40" s="215">
        <f t="shared" si="18"/>
        <v>0</v>
      </c>
      <c r="T40" s="215">
        <f t="shared" si="18"/>
        <v>0</v>
      </c>
      <c r="U40" s="215">
        <f t="shared" si="18"/>
        <v>0</v>
      </c>
      <c r="V40" s="215">
        <f t="shared" si="18"/>
        <v>0</v>
      </c>
      <c r="W40" s="215">
        <f t="shared" si="18"/>
        <v>0</v>
      </c>
    </row>
    <row r="41" spans="2:23">
      <c r="B41" s="119" t="s">
        <v>65</v>
      </c>
      <c r="C41" s="120" t="s">
        <v>91</v>
      </c>
      <c r="D41" s="116" t="s">
        <v>59</v>
      </c>
      <c r="E41" s="121">
        <v>283163.40000000002</v>
      </c>
      <c r="F41" s="215">
        <v>265072.26</v>
      </c>
      <c r="G41" s="215">
        <f t="shared" si="17"/>
        <v>278325.87300000002</v>
      </c>
      <c r="H41" s="215">
        <f t="shared" si="18"/>
        <v>292242.16665000003</v>
      </c>
      <c r="I41" s="215">
        <f t="shared" si="18"/>
        <v>306854.27498250001</v>
      </c>
      <c r="J41" s="215">
        <f t="shared" si="18"/>
        <v>322196.98873162502</v>
      </c>
      <c r="K41" s="215">
        <f t="shared" si="18"/>
        <v>338306.83816820628</v>
      </c>
      <c r="L41" s="215">
        <f t="shared" si="18"/>
        <v>355222.18007661658</v>
      </c>
      <c r="M41" s="215">
        <f t="shared" si="18"/>
        <v>372983.2890804474</v>
      </c>
      <c r="N41" s="215">
        <f t="shared" si="18"/>
        <v>391632.45353446977</v>
      </c>
      <c r="O41" s="215">
        <f t="shared" si="18"/>
        <v>411214.07621119323</v>
      </c>
      <c r="P41" s="215">
        <f t="shared" si="18"/>
        <v>431774.78002175287</v>
      </c>
      <c r="Q41" s="215">
        <f t="shared" si="18"/>
        <v>453363.51902284054</v>
      </c>
      <c r="R41" s="215">
        <f t="shared" si="18"/>
        <v>476031.69497398258</v>
      </c>
      <c r="S41" s="215">
        <f t="shared" si="18"/>
        <v>499833.27972268173</v>
      </c>
      <c r="T41" s="215">
        <f t="shared" si="18"/>
        <v>524824.94370881584</v>
      </c>
      <c r="U41" s="215">
        <f t="shared" si="18"/>
        <v>551066.19089425658</v>
      </c>
      <c r="V41" s="215">
        <f t="shared" si="18"/>
        <v>578619.50043896935</v>
      </c>
      <c r="W41" s="215">
        <f t="shared" si="18"/>
        <v>607550.47546091781</v>
      </c>
    </row>
    <row r="42" spans="2:23">
      <c r="B42" s="114" t="s">
        <v>92</v>
      </c>
      <c r="C42" s="124" t="s">
        <v>93</v>
      </c>
      <c r="D42" s="116" t="s">
        <v>59</v>
      </c>
      <c r="E42" s="117">
        <f>SUM(E43:E45)</f>
        <v>20299.79</v>
      </c>
      <c r="F42" s="117">
        <f>SUM(F43:F45)</f>
        <v>15934.54</v>
      </c>
      <c r="G42" s="117">
        <f>SUM(G43:G45)</f>
        <v>16731.267</v>
      </c>
      <c r="H42" s="117">
        <f t="shared" ref="H42:W42" si="21">SUM(H43:H45)</f>
        <v>17567.83035</v>
      </c>
      <c r="I42" s="117">
        <f t="shared" si="21"/>
        <v>18446.2218675</v>
      </c>
      <c r="J42" s="117">
        <f t="shared" si="21"/>
        <v>19368.532960875</v>
      </c>
      <c r="K42" s="117">
        <f t="shared" si="21"/>
        <v>20336.959608918751</v>
      </c>
      <c r="L42" s="117">
        <f t="shared" si="21"/>
        <v>21353.807589364689</v>
      </c>
      <c r="M42" s="117">
        <f t="shared" si="21"/>
        <v>22421.497968832922</v>
      </c>
      <c r="N42" s="117">
        <f t="shared" si="21"/>
        <v>23542.572867274568</v>
      </c>
      <c r="O42" s="117">
        <f t="shared" si="21"/>
        <v>24719.701510638297</v>
      </c>
      <c r="P42" s="117">
        <f t="shared" si="21"/>
        <v>25955.68658617021</v>
      </c>
      <c r="Q42" s="117">
        <f t="shared" si="21"/>
        <v>27253.47091547872</v>
      </c>
      <c r="R42" s="117">
        <f t="shared" si="21"/>
        <v>28616.144461252654</v>
      </c>
      <c r="S42" s="117">
        <f t="shared" si="21"/>
        <v>30046.951684315285</v>
      </c>
      <c r="T42" s="117">
        <f t="shared" si="21"/>
        <v>31549.299268531049</v>
      </c>
      <c r="U42" s="117">
        <f t="shared" si="21"/>
        <v>33126.764231957604</v>
      </c>
      <c r="V42" s="117">
        <f t="shared" si="21"/>
        <v>34783.102443555486</v>
      </c>
      <c r="W42" s="117">
        <f t="shared" si="21"/>
        <v>36522.257565733264</v>
      </c>
    </row>
    <row r="43" spans="2:23">
      <c r="B43" s="119" t="s">
        <v>61</v>
      </c>
      <c r="C43" s="123" t="s">
        <v>94</v>
      </c>
      <c r="D43" s="116" t="s">
        <v>59</v>
      </c>
      <c r="E43" s="121">
        <v>0</v>
      </c>
      <c r="F43" s="183">
        <v>0</v>
      </c>
      <c r="G43" s="215">
        <f t="shared" si="17"/>
        <v>0</v>
      </c>
      <c r="H43" s="215">
        <f t="shared" si="18"/>
        <v>0</v>
      </c>
      <c r="I43" s="215">
        <f t="shared" si="18"/>
        <v>0</v>
      </c>
      <c r="J43" s="215">
        <f t="shared" si="18"/>
        <v>0</v>
      </c>
      <c r="K43" s="215">
        <f t="shared" si="18"/>
        <v>0</v>
      </c>
      <c r="L43" s="215">
        <f t="shared" si="18"/>
        <v>0</v>
      </c>
      <c r="M43" s="215">
        <f t="shared" si="18"/>
        <v>0</v>
      </c>
      <c r="N43" s="215">
        <f t="shared" si="18"/>
        <v>0</v>
      </c>
      <c r="O43" s="215">
        <f t="shared" si="18"/>
        <v>0</v>
      </c>
      <c r="P43" s="215">
        <f t="shared" si="18"/>
        <v>0</v>
      </c>
      <c r="Q43" s="215">
        <f t="shared" si="18"/>
        <v>0</v>
      </c>
      <c r="R43" s="215">
        <f t="shared" si="18"/>
        <v>0</v>
      </c>
      <c r="S43" s="215">
        <f t="shared" si="18"/>
        <v>0</v>
      </c>
      <c r="T43" s="215">
        <f t="shared" si="18"/>
        <v>0</v>
      </c>
      <c r="U43" s="215">
        <f t="shared" si="18"/>
        <v>0</v>
      </c>
      <c r="V43" s="215">
        <f t="shared" si="18"/>
        <v>0</v>
      </c>
      <c r="W43" s="215">
        <f t="shared" si="18"/>
        <v>0</v>
      </c>
    </row>
    <row r="44" spans="2:23">
      <c r="B44" s="119" t="s">
        <v>63</v>
      </c>
      <c r="C44" s="123" t="s">
        <v>95</v>
      </c>
      <c r="D44" s="116" t="s">
        <v>59</v>
      </c>
      <c r="E44" s="121">
        <v>0</v>
      </c>
      <c r="F44" s="215">
        <v>0</v>
      </c>
      <c r="G44" s="215">
        <f t="shared" si="17"/>
        <v>0</v>
      </c>
      <c r="H44" s="215">
        <f t="shared" ref="H44:W59" si="22">G44+G44*0.05</f>
        <v>0</v>
      </c>
      <c r="I44" s="215">
        <f t="shared" si="22"/>
        <v>0</v>
      </c>
      <c r="J44" s="215">
        <f t="shared" si="22"/>
        <v>0</v>
      </c>
      <c r="K44" s="215">
        <f t="shared" si="22"/>
        <v>0</v>
      </c>
      <c r="L44" s="215">
        <f t="shared" si="22"/>
        <v>0</v>
      </c>
      <c r="M44" s="215">
        <f t="shared" si="22"/>
        <v>0</v>
      </c>
      <c r="N44" s="215">
        <f t="shared" si="22"/>
        <v>0</v>
      </c>
      <c r="O44" s="215">
        <f t="shared" si="22"/>
        <v>0</v>
      </c>
      <c r="P44" s="215">
        <f t="shared" si="22"/>
        <v>0</v>
      </c>
      <c r="Q44" s="215">
        <f t="shared" si="22"/>
        <v>0</v>
      </c>
      <c r="R44" s="215">
        <f t="shared" si="22"/>
        <v>0</v>
      </c>
      <c r="S44" s="215">
        <f t="shared" si="22"/>
        <v>0</v>
      </c>
      <c r="T44" s="215">
        <f t="shared" si="22"/>
        <v>0</v>
      </c>
      <c r="U44" s="215">
        <f t="shared" si="22"/>
        <v>0</v>
      </c>
      <c r="V44" s="215">
        <f t="shared" si="22"/>
        <v>0</v>
      </c>
      <c r="W44" s="215">
        <f t="shared" si="22"/>
        <v>0</v>
      </c>
    </row>
    <row r="45" spans="2:23">
      <c r="B45" s="119" t="s">
        <v>65</v>
      </c>
      <c r="C45" s="120" t="s">
        <v>96</v>
      </c>
      <c r="D45" s="116" t="s">
        <v>59</v>
      </c>
      <c r="E45" s="121">
        <v>20299.79</v>
      </c>
      <c r="F45" s="215">
        <v>15934.54</v>
      </c>
      <c r="G45" s="215">
        <f t="shared" si="17"/>
        <v>16731.267</v>
      </c>
      <c r="H45" s="215">
        <f t="shared" si="22"/>
        <v>17567.83035</v>
      </c>
      <c r="I45" s="215">
        <f t="shared" si="22"/>
        <v>18446.2218675</v>
      </c>
      <c r="J45" s="215">
        <f t="shared" si="22"/>
        <v>19368.532960875</v>
      </c>
      <c r="K45" s="215">
        <f t="shared" si="22"/>
        <v>20336.959608918751</v>
      </c>
      <c r="L45" s="215">
        <f t="shared" si="22"/>
        <v>21353.807589364689</v>
      </c>
      <c r="M45" s="215">
        <f t="shared" si="22"/>
        <v>22421.497968832922</v>
      </c>
      <c r="N45" s="215">
        <f t="shared" si="22"/>
        <v>23542.572867274568</v>
      </c>
      <c r="O45" s="215">
        <f t="shared" si="22"/>
        <v>24719.701510638297</v>
      </c>
      <c r="P45" s="215">
        <f t="shared" si="22"/>
        <v>25955.68658617021</v>
      </c>
      <c r="Q45" s="215">
        <f t="shared" si="22"/>
        <v>27253.47091547872</v>
      </c>
      <c r="R45" s="215">
        <f t="shared" si="22"/>
        <v>28616.144461252654</v>
      </c>
      <c r="S45" s="215">
        <f t="shared" si="22"/>
        <v>30046.951684315285</v>
      </c>
      <c r="T45" s="215">
        <f t="shared" si="22"/>
        <v>31549.299268531049</v>
      </c>
      <c r="U45" s="215">
        <f t="shared" si="22"/>
        <v>33126.764231957604</v>
      </c>
      <c r="V45" s="215">
        <f t="shared" si="22"/>
        <v>34783.102443555486</v>
      </c>
      <c r="W45" s="215">
        <f t="shared" si="22"/>
        <v>36522.257565733264</v>
      </c>
    </row>
    <row r="46" spans="2:23">
      <c r="B46" s="114" t="s">
        <v>97</v>
      </c>
      <c r="C46" s="115" t="s">
        <v>98</v>
      </c>
      <c r="D46" s="116" t="s">
        <v>59</v>
      </c>
      <c r="E46" s="117">
        <f>E37+E38-E42</f>
        <v>1014151.0499999999</v>
      </c>
      <c r="F46" s="117">
        <f>F37+F38-F42</f>
        <v>747282.01000000036</v>
      </c>
      <c r="G46" s="117">
        <f>G37+G38-G42</f>
        <v>894400.90950000088</v>
      </c>
      <c r="H46" s="117">
        <f t="shared" ref="H46:W46" si="23">H37+H38-H42</f>
        <v>666422.66931137722</v>
      </c>
      <c r="I46" s="117">
        <f t="shared" si="23"/>
        <v>1082406.6050858747</v>
      </c>
      <c r="J46" s="117">
        <f t="shared" si="23"/>
        <v>1230627.9561327971</v>
      </c>
      <c r="K46" s="117">
        <f t="shared" si="23"/>
        <v>1381555.3236924293</v>
      </c>
      <c r="L46" s="117">
        <f t="shared" si="23"/>
        <v>1535559.2611423966</v>
      </c>
      <c r="M46" s="117">
        <f t="shared" si="23"/>
        <v>1693017.0869015947</v>
      </c>
      <c r="N46" s="117">
        <f t="shared" si="23"/>
        <v>1854313.8108136463</v>
      </c>
      <c r="O46" s="117">
        <f t="shared" si="23"/>
        <v>2019843.0774429578</v>
      </c>
      <c r="P46" s="117">
        <f t="shared" si="23"/>
        <v>2190008.1285992884</v>
      </c>
      <c r="Q46" s="117">
        <f t="shared" si="23"/>
        <v>2365222.7874492388</v>
      </c>
      <c r="R46" s="117">
        <f t="shared" si="23"/>
        <v>2545912.4666206874</v>
      </c>
      <c r="S46" s="117">
        <f t="shared" si="23"/>
        <v>2732515.2027607616</v>
      </c>
      <c r="T46" s="117">
        <f t="shared" si="23"/>
        <v>2925482.7200673791</v>
      </c>
      <c r="U46" s="117">
        <f t="shared" si="23"/>
        <v>3125281.5253808973</v>
      </c>
      <c r="V46" s="117">
        <f t="shared" si="23"/>
        <v>3332394.0374945877</v>
      </c>
      <c r="W46" s="117">
        <f t="shared" si="23"/>
        <v>3547319.7534217378</v>
      </c>
    </row>
    <row r="47" spans="2:23">
      <c r="B47" s="114" t="s">
        <v>99</v>
      </c>
      <c r="C47" s="124" t="s">
        <v>100</v>
      </c>
      <c r="D47" s="116" t="s">
        <v>59</v>
      </c>
      <c r="E47" s="117">
        <f>SUM(E48:E54)</f>
        <v>31300.27</v>
      </c>
      <c r="F47" s="117">
        <f>SUM(F48:F54)</f>
        <v>66757.59</v>
      </c>
      <c r="G47" s="117">
        <f>SUM(G48:G54)</f>
        <v>70095.469499999992</v>
      </c>
      <c r="H47" s="117">
        <f t="shared" ref="H47:W47" si="24">SUM(H48:H54)</f>
        <v>73600.242974999986</v>
      </c>
      <c r="I47" s="117">
        <f t="shared" si="24"/>
        <v>77280.255123749987</v>
      </c>
      <c r="J47" s="117">
        <f t="shared" si="24"/>
        <v>81144.267879937484</v>
      </c>
      <c r="K47" s="117">
        <f t="shared" si="24"/>
        <v>85201.481273934362</v>
      </c>
      <c r="L47" s="117">
        <f t="shared" si="24"/>
        <v>89461.555337631085</v>
      </c>
      <c r="M47" s="117">
        <f t="shared" si="24"/>
        <v>93934.633104512643</v>
      </c>
      <c r="N47" s="117">
        <f t="shared" si="24"/>
        <v>98631.364759738281</v>
      </c>
      <c r="O47" s="117">
        <f t="shared" si="24"/>
        <v>103562.93299772519</v>
      </c>
      <c r="P47" s="117">
        <f t="shared" si="24"/>
        <v>108741.07964761145</v>
      </c>
      <c r="Q47" s="117">
        <f t="shared" si="24"/>
        <v>114178.13362999202</v>
      </c>
      <c r="R47" s="117">
        <f t="shared" si="24"/>
        <v>119887.04031149163</v>
      </c>
      <c r="S47" s="117">
        <f t="shared" si="24"/>
        <v>125881.39232706621</v>
      </c>
      <c r="T47" s="117">
        <f t="shared" si="24"/>
        <v>132175.4619434195</v>
      </c>
      <c r="U47" s="117">
        <f t="shared" si="24"/>
        <v>138784.23504059049</v>
      </c>
      <c r="V47" s="117">
        <f t="shared" si="24"/>
        <v>145723.44679262</v>
      </c>
      <c r="W47" s="117">
        <f t="shared" si="24"/>
        <v>153009.61913225101</v>
      </c>
    </row>
    <row r="48" spans="2:23">
      <c r="B48" s="119" t="s">
        <v>61</v>
      </c>
      <c r="C48" s="123" t="s">
        <v>101</v>
      </c>
      <c r="D48" s="116" t="s">
        <v>59</v>
      </c>
      <c r="E48" s="121">
        <v>0</v>
      </c>
      <c r="F48" s="215">
        <v>0</v>
      </c>
      <c r="G48" s="215">
        <f t="shared" si="17"/>
        <v>0</v>
      </c>
      <c r="H48" s="215">
        <f t="shared" si="22"/>
        <v>0</v>
      </c>
      <c r="I48" s="215">
        <f t="shared" si="22"/>
        <v>0</v>
      </c>
      <c r="J48" s="215">
        <f t="shared" si="22"/>
        <v>0</v>
      </c>
      <c r="K48" s="215">
        <f t="shared" si="22"/>
        <v>0</v>
      </c>
      <c r="L48" s="215">
        <f t="shared" si="22"/>
        <v>0</v>
      </c>
      <c r="M48" s="215">
        <f t="shared" si="22"/>
        <v>0</v>
      </c>
      <c r="N48" s="215">
        <f t="shared" si="22"/>
        <v>0</v>
      </c>
      <c r="O48" s="215">
        <f t="shared" si="22"/>
        <v>0</v>
      </c>
      <c r="P48" s="215">
        <f t="shared" si="22"/>
        <v>0</v>
      </c>
      <c r="Q48" s="215">
        <f t="shared" si="22"/>
        <v>0</v>
      </c>
      <c r="R48" s="215">
        <f t="shared" si="22"/>
        <v>0</v>
      </c>
      <c r="S48" s="215">
        <f t="shared" si="22"/>
        <v>0</v>
      </c>
      <c r="T48" s="215">
        <f t="shared" si="22"/>
        <v>0</v>
      </c>
      <c r="U48" s="215">
        <f t="shared" si="22"/>
        <v>0</v>
      </c>
      <c r="V48" s="215">
        <f t="shared" si="22"/>
        <v>0</v>
      </c>
      <c r="W48" s="215">
        <f t="shared" si="22"/>
        <v>0</v>
      </c>
    </row>
    <row r="49" spans="2:23">
      <c r="B49" s="119"/>
      <c r="C49" s="120" t="s">
        <v>60</v>
      </c>
      <c r="D49" s="116" t="s">
        <v>59</v>
      </c>
      <c r="E49" s="121">
        <v>0</v>
      </c>
      <c r="F49" s="215">
        <v>0</v>
      </c>
      <c r="G49" s="215">
        <f t="shared" si="17"/>
        <v>0</v>
      </c>
      <c r="H49" s="215">
        <f t="shared" si="22"/>
        <v>0</v>
      </c>
      <c r="I49" s="215">
        <f t="shared" si="22"/>
        <v>0</v>
      </c>
      <c r="J49" s="215">
        <f t="shared" si="22"/>
        <v>0</v>
      </c>
      <c r="K49" s="215">
        <f t="shared" si="22"/>
        <v>0</v>
      </c>
      <c r="L49" s="215">
        <f t="shared" si="22"/>
        <v>0</v>
      </c>
      <c r="M49" s="215">
        <f t="shared" si="22"/>
        <v>0</v>
      </c>
      <c r="N49" s="215">
        <f t="shared" si="22"/>
        <v>0</v>
      </c>
      <c r="O49" s="215">
        <f t="shared" si="22"/>
        <v>0</v>
      </c>
      <c r="P49" s="215">
        <f t="shared" si="22"/>
        <v>0</v>
      </c>
      <c r="Q49" s="215">
        <f t="shared" si="22"/>
        <v>0</v>
      </c>
      <c r="R49" s="215">
        <f t="shared" si="22"/>
        <v>0</v>
      </c>
      <c r="S49" s="215">
        <f t="shared" si="22"/>
        <v>0</v>
      </c>
      <c r="T49" s="215">
        <f t="shared" si="22"/>
        <v>0</v>
      </c>
      <c r="U49" s="215">
        <f t="shared" si="22"/>
        <v>0</v>
      </c>
      <c r="V49" s="215">
        <f t="shared" si="22"/>
        <v>0</v>
      </c>
      <c r="W49" s="215">
        <f t="shared" si="22"/>
        <v>0</v>
      </c>
    </row>
    <row r="50" spans="2:23">
      <c r="B50" s="119" t="s">
        <v>63</v>
      </c>
      <c r="C50" s="120" t="s">
        <v>102</v>
      </c>
      <c r="D50" s="116" t="s">
        <v>59</v>
      </c>
      <c r="E50" s="121">
        <v>31300.27</v>
      </c>
      <c r="F50" s="215">
        <v>66757.59</v>
      </c>
      <c r="G50" s="215">
        <f t="shared" si="17"/>
        <v>70095.469499999992</v>
      </c>
      <c r="H50" s="215">
        <f t="shared" si="22"/>
        <v>73600.242974999986</v>
      </c>
      <c r="I50" s="215">
        <f t="shared" si="22"/>
        <v>77280.255123749987</v>
      </c>
      <c r="J50" s="215">
        <f t="shared" si="22"/>
        <v>81144.267879937484</v>
      </c>
      <c r="K50" s="215">
        <f t="shared" si="22"/>
        <v>85201.481273934362</v>
      </c>
      <c r="L50" s="215">
        <f t="shared" si="22"/>
        <v>89461.555337631085</v>
      </c>
      <c r="M50" s="215">
        <f t="shared" si="22"/>
        <v>93934.633104512643</v>
      </c>
      <c r="N50" s="215">
        <f t="shared" si="22"/>
        <v>98631.364759738281</v>
      </c>
      <c r="O50" s="215">
        <f t="shared" si="22"/>
        <v>103562.93299772519</v>
      </c>
      <c r="P50" s="215">
        <f t="shared" si="22"/>
        <v>108741.07964761145</v>
      </c>
      <c r="Q50" s="215">
        <f t="shared" si="22"/>
        <v>114178.13362999202</v>
      </c>
      <c r="R50" s="215">
        <f t="shared" si="22"/>
        <v>119887.04031149163</v>
      </c>
      <c r="S50" s="215">
        <f t="shared" si="22"/>
        <v>125881.39232706621</v>
      </c>
      <c r="T50" s="215">
        <f t="shared" si="22"/>
        <v>132175.4619434195</v>
      </c>
      <c r="U50" s="215">
        <f t="shared" si="22"/>
        <v>138784.23504059049</v>
      </c>
      <c r="V50" s="215">
        <f t="shared" si="22"/>
        <v>145723.44679262</v>
      </c>
      <c r="W50" s="215">
        <f t="shared" si="22"/>
        <v>153009.61913225101</v>
      </c>
    </row>
    <row r="51" spans="2:23">
      <c r="B51" s="119"/>
      <c r="C51" s="120" t="s">
        <v>60</v>
      </c>
      <c r="D51" s="116" t="s">
        <v>59</v>
      </c>
      <c r="E51" s="121">
        <v>0</v>
      </c>
      <c r="F51" s="183">
        <v>0</v>
      </c>
      <c r="G51" s="215">
        <f t="shared" si="17"/>
        <v>0</v>
      </c>
      <c r="H51" s="215">
        <f t="shared" si="22"/>
        <v>0</v>
      </c>
      <c r="I51" s="215">
        <f t="shared" si="22"/>
        <v>0</v>
      </c>
      <c r="J51" s="215">
        <f t="shared" si="22"/>
        <v>0</v>
      </c>
      <c r="K51" s="215">
        <f t="shared" si="22"/>
        <v>0</v>
      </c>
      <c r="L51" s="215">
        <f t="shared" si="22"/>
        <v>0</v>
      </c>
      <c r="M51" s="215">
        <f t="shared" si="22"/>
        <v>0</v>
      </c>
      <c r="N51" s="215">
        <f t="shared" si="22"/>
        <v>0</v>
      </c>
      <c r="O51" s="215">
        <f t="shared" si="22"/>
        <v>0</v>
      </c>
      <c r="P51" s="215">
        <f t="shared" si="22"/>
        <v>0</v>
      </c>
      <c r="Q51" s="215">
        <f t="shared" si="22"/>
        <v>0</v>
      </c>
      <c r="R51" s="215">
        <f t="shared" si="22"/>
        <v>0</v>
      </c>
      <c r="S51" s="215">
        <f t="shared" si="22"/>
        <v>0</v>
      </c>
      <c r="T51" s="215">
        <f t="shared" si="22"/>
        <v>0</v>
      </c>
      <c r="U51" s="215">
        <f t="shared" si="22"/>
        <v>0</v>
      </c>
      <c r="V51" s="215">
        <f t="shared" si="22"/>
        <v>0</v>
      </c>
      <c r="W51" s="215">
        <f t="shared" si="22"/>
        <v>0</v>
      </c>
    </row>
    <row r="52" spans="2:23">
      <c r="B52" s="119" t="s">
        <v>65</v>
      </c>
      <c r="C52" s="120" t="s">
        <v>103</v>
      </c>
      <c r="D52" s="116" t="s">
        <v>59</v>
      </c>
      <c r="E52" s="121">
        <v>0</v>
      </c>
      <c r="F52" s="183">
        <v>0</v>
      </c>
      <c r="G52" s="215">
        <f t="shared" si="17"/>
        <v>0</v>
      </c>
      <c r="H52" s="215">
        <f t="shared" si="22"/>
        <v>0</v>
      </c>
      <c r="I52" s="215">
        <f t="shared" si="22"/>
        <v>0</v>
      </c>
      <c r="J52" s="215">
        <f t="shared" si="22"/>
        <v>0</v>
      </c>
      <c r="K52" s="215">
        <f t="shared" si="22"/>
        <v>0</v>
      </c>
      <c r="L52" s="215">
        <f t="shared" si="22"/>
        <v>0</v>
      </c>
      <c r="M52" s="215">
        <f t="shared" si="22"/>
        <v>0</v>
      </c>
      <c r="N52" s="215">
        <f t="shared" si="22"/>
        <v>0</v>
      </c>
      <c r="O52" s="215">
        <f t="shared" si="22"/>
        <v>0</v>
      </c>
      <c r="P52" s="215">
        <f t="shared" si="22"/>
        <v>0</v>
      </c>
      <c r="Q52" s="215">
        <f t="shared" si="22"/>
        <v>0</v>
      </c>
      <c r="R52" s="215">
        <f t="shared" si="22"/>
        <v>0</v>
      </c>
      <c r="S52" s="215">
        <f t="shared" si="22"/>
        <v>0</v>
      </c>
      <c r="T52" s="215">
        <f t="shared" si="22"/>
        <v>0</v>
      </c>
      <c r="U52" s="215">
        <f t="shared" si="22"/>
        <v>0</v>
      </c>
      <c r="V52" s="215">
        <f t="shared" si="22"/>
        <v>0</v>
      </c>
      <c r="W52" s="215">
        <f t="shared" si="22"/>
        <v>0</v>
      </c>
    </row>
    <row r="53" spans="2:23">
      <c r="B53" s="119" t="s">
        <v>67</v>
      </c>
      <c r="C53" s="120" t="s">
        <v>104</v>
      </c>
      <c r="D53" s="116" t="s">
        <v>59</v>
      </c>
      <c r="E53" s="121">
        <v>0</v>
      </c>
      <c r="F53" s="215">
        <v>0</v>
      </c>
      <c r="G53" s="215">
        <f t="shared" si="17"/>
        <v>0</v>
      </c>
      <c r="H53" s="215">
        <f t="shared" si="22"/>
        <v>0</v>
      </c>
      <c r="I53" s="215">
        <f t="shared" si="22"/>
        <v>0</v>
      </c>
      <c r="J53" s="215">
        <f t="shared" si="22"/>
        <v>0</v>
      </c>
      <c r="K53" s="215">
        <f t="shared" si="22"/>
        <v>0</v>
      </c>
      <c r="L53" s="215">
        <f t="shared" si="22"/>
        <v>0</v>
      </c>
      <c r="M53" s="215">
        <f t="shared" si="22"/>
        <v>0</v>
      </c>
      <c r="N53" s="215">
        <f t="shared" si="22"/>
        <v>0</v>
      </c>
      <c r="O53" s="215">
        <f t="shared" si="22"/>
        <v>0</v>
      </c>
      <c r="P53" s="215">
        <f t="shared" si="22"/>
        <v>0</v>
      </c>
      <c r="Q53" s="215">
        <f t="shared" si="22"/>
        <v>0</v>
      </c>
      <c r="R53" s="215">
        <f t="shared" si="22"/>
        <v>0</v>
      </c>
      <c r="S53" s="215">
        <f t="shared" si="22"/>
        <v>0</v>
      </c>
      <c r="T53" s="215">
        <f t="shared" si="22"/>
        <v>0</v>
      </c>
      <c r="U53" s="215">
        <f t="shared" si="22"/>
        <v>0</v>
      </c>
      <c r="V53" s="215">
        <f t="shared" si="22"/>
        <v>0</v>
      </c>
      <c r="W53" s="215">
        <f t="shared" si="22"/>
        <v>0</v>
      </c>
    </row>
    <row r="54" spans="2:23">
      <c r="B54" s="119" t="s">
        <v>77</v>
      </c>
      <c r="C54" s="120" t="s">
        <v>105</v>
      </c>
      <c r="D54" s="116" t="s">
        <v>59</v>
      </c>
      <c r="E54" s="121">
        <v>0</v>
      </c>
      <c r="F54" s="215">
        <v>0</v>
      </c>
      <c r="G54" s="215">
        <f t="shared" si="17"/>
        <v>0</v>
      </c>
      <c r="H54" s="215">
        <f t="shared" si="22"/>
        <v>0</v>
      </c>
      <c r="I54" s="215">
        <f t="shared" si="22"/>
        <v>0</v>
      </c>
      <c r="J54" s="215">
        <f t="shared" si="22"/>
        <v>0</v>
      </c>
      <c r="K54" s="215">
        <f t="shared" si="22"/>
        <v>0</v>
      </c>
      <c r="L54" s="215">
        <f t="shared" si="22"/>
        <v>0</v>
      </c>
      <c r="M54" s="215">
        <f t="shared" si="22"/>
        <v>0</v>
      </c>
      <c r="N54" s="215">
        <f t="shared" si="22"/>
        <v>0</v>
      </c>
      <c r="O54" s="215">
        <f t="shared" si="22"/>
        <v>0</v>
      </c>
      <c r="P54" s="215">
        <f t="shared" si="22"/>
        <v>0</v>
      </c>
      <c r="Q54" s="215">
        <f t="shared" si="22"/>
        <v>0</v>
      </c>
      <c r="R54" s="215">
        <f t="shared" si="22"/>
        <v>0</v>
      </c>
      <c r="S54" s="215">
        <f t="shared" si="22"/>
        <v>0</v>
      </c>
      <c r="T54" s="215">
        <f t="shared" si="22"/>
        <v>0</v>
      </c>
      <c r="U54" s="215">
        <f t="shared" si="22"/>
        <v>0</v>
      </c>
      <c r="V54" s="215">
        <f t="shared" si="22"/>
        <v>0</v>
      </c>
      <c r="W54" s="215">
        <f t="shared" si="22"/>
        <v>0</v>
      </c>
    </row>
    <row r="55" spans="2:23">
      <c r="B55" s="114" t="s">
        <v>106</v>
      </c>
      <c r="C55" s="124" t="s">
        <v>107</v>
      </c>
      <c r="D55" s="116" t="s">
        <v>59</v>
      </c>
      <c r="E55" s="117">
        <f>SUM(E56:E60)</f>
        <v>29578.84</v>
      </c>
      <c r="F55" s="117">
        <f>SUM(F56:F60)</f>
        <v>9482.34</v>
      </c>
      <c r="G55" s="117">
        <f>SUM(G56:G60)</f>
        <v>9956.4570000000003</v>
      </c>
      <c r="H55" s="117">
        <f t="shared" ref="H55:W55" si="25">SUM(H56:H60)</f>
        <v>10454.279850000001</v>
      </c>
      <c r="I55" s="117">
        <f t="shared" si="25"/>
        <v>10976.9938425</v>
      </c>
      <c r="J55" s="117">
        <f t="shared" si="25"/>
        <v>11525.843534625001</v>
      </c>
      <c r="K55" s="117">
        <f t="shared" si="25"/>
        <v>12102.135711356252</v>
      </c>
      <c r="L55" s="117">
        <f t="shared" si="25"/>
        <v>12707.242496924064</v>
      </c>
      <c r="M55" s="117">
        <f t="shared" si="25"/>
        <v>13342.604621770268</v>
      </c>
      <c r="N55" s="117">
        <f t="shared" si="25"/>
        <v>14009.734852858781</v>
      </c>
      <c r="O55" s="117">
        <f t="shared" si="25"/>
        <v>14710.22159550172</v>
      </c>
      <c r="P55" s="117">
        <f t="shared" si="25"/>
        <v>15445.732675276806</v>
      </c>
      <c r="Q55" s="117">
        <f t="shared" si="25"/>
        <v>16218.019309040646</v>
      </c>
      <c r="R55" s="117">
        <f t="shared" si="25"/>
        <v>17028.920274492681</v>
      </c>
      <c r="S55" s="117">
        <f t="shared" si="25"/>
        <v>17880.366288217316</v>
      </c>
      <c r="T55" s="117">
        <f t="shared" si="25"/>
        <v>18774.384602628183</v>
      </c>
      <c r="U55" s="117">
        <f t="shared" si="25"/>
        <v>19713.103832759592</v>
      </c>
      <c r="V55" s="117">
        <f t="shared" si="25"/>
        <v>20698.759024397572</v>
      </c>
      <c r="W55" s="117">
        <f t="shared" si="25"/>
        <v>21733.696975617451</v>
      </c>
    </row>
    <row r="56" spans="2:23">
      <c r="B56" s="119" t="s">
        <v>61</v>
      </c>
      <c r="C56" s="120" t="s">
        <v>102</v>
      </c>
      <c r="D56" s="116" t="s">
        <v>59</v>
      </c>
      <c r="E56" s="121">
        <v>29578.84</v>
      </c>
      <c r="F56" s="215">
        <v>9482.34</v>
      </c>
      <c r="G56" s="215">
        <f t="shared" si="17"/>
        <v>9956.4570000000003</v>
      </c>
      <c r="H56" s="215">
        <f t="shared" si="22"/>
        <v>10454.279850000001</v>
      </c>
      <c r="I56" s="215">
        <f t="shared" si="22"/>
        <v>10976.9938425</v>
      </c>
      <c r="J56" s="215">
        <f t="shared" si="22"/>
        <v>11525.843534625001</v>
      </c>
      <c r="K56" s="215">
        <f t="shared" si="22"/>
        <v>12102.135711356252</v>
      </c>
      <c r="L56" s="215">
        <f t="shared" si="22"/>
        <v>12707.242496924064</v>
      </c>
      <c r="M56" s="215">
        <f t="shared" si="22"/>
        <v>13342.604621770268</v>
      </c>
      <c r="N56" s="215">
        <f t="shared" si="22"/>
        <v>14009.734852858781</v>
      </c>
      <c r="O56" s="215">
        <f t="shared" si="22"/>
        <v>14710.22159550172</v>
      </c>
      <c r="P56" s="215">
        <f t="shared" si="22"/>
        <v>15445.732675276806</v>
      </c>
      <c r="Q56" s="215">
        <f t="shared" si="22"/>
        <v>16218.019309040646</v>
      </c>
      <c r="R56" s="215">
        <f t="shared" si="22"/>
        <v>17028.920274492681</v>
      </c>
      <c r="S56" s="215">
        <f t="shared" si="22"/>
        <v>17880.366288217316</v>
      </c>
      <c r="T56" s="215">
        <f t="shared" si="22"/>
        <v>18774.384602628183</v>
      </c>
      <c r="U56" s="215">
        <f t="shared" si="22"/>
        <v>19713.103832759592</v>
      </c>
      <c r="V56" s="215">
        <f t="shared" si="22"/>
        <v>20698.759024397572</v>
      </c>
      <c r="W56" s="215">
        <f t="shared" si="22"/>
        <v>21733.696975617451</v>
      </c>
    </row>
    <row r="57" spans="2:23">
      <c r="B57" s="119"/>
      <c r="C57" s="120" t="s">
        <v>108</v>
      </c>
      <c r="D57" s="116" t="s">
        <v>59</v>
      </c>
      <c r="E57" s="121">
        <v>0</v>
      </c>
      <c r="F57" s="215">
        <v>0</v>
      </c>
      <c r="G57" s="215">
        <f t="shared" si="17"/>
        <v>0</v>
      </c>
      <c r="H57" s="215">
        <f t="shared" si="22"/>
        <v>0</v>
      </c>
      <c r="I57" s="215">
        <f t="shared" si="22"/>
        <v>0</v>
      </c>
      <c r="J57" s="215">
        <f t="shared" si="22"/>
        <v>0</v>
      </c>
      <c r="K57" s="215">
        <f t="shared" si="22"/>
        <v>0</v>
      </c>
      <c r="L57" s="215">
        <f t="shared" si="22"/>
        <v>0</v>
      </c>
      <c r="M57" s="215">
        <f t="shared" si="22"/>
        <v>0</v>
      </c>
      <c r="N57" s="215">
        <f t="shared" si="22"/>
        <v>0</v>
      </c>
      <c r="O57" s="215">
        <f t="shared" si="22"/>
        <v>0</v>
      </c>
      <c r="P57" s="215">
        <f t="shared" si="22"/>
        <v>0</v>
      </c>
      <c r="Q57" s="215">
        <f t="shared" si="22"/>
        <v>0</v>
      </c>
      <c r="R57" s="215">
        <f t="shared" si="22"/>
        <v>0</v>
      </c>
      <c r="S57" s="215">
        <f t="shared" si="22"/>
        <v>0</v>
      </c>
      <c r="T57" s="215">
        <f t="shared" si="22"/>
        <v>0</v>
      </c>
      <c r="U57" s="215">
        <f t="shared" si="22"/>
        <v>0</v>
      </c>
      <c r="V57" s="215">
        <f t="shared" si="22"/>
        <v>0</v>
      </c>
      <c r="W57" s="215">
        <f t="shared" si="22"/>
        <v>0</v>
      </c>
    </row>
    <row r="58" spans="2:23">
      <c r="B58" s="119" t="s">
        <v>63</v>
      </c>
      <c r="C58" s="120" t="s">
        <v>109</v>
      </c>
      <c r="D58" s="116" t="s">
        <v>59</v>
      </c>
      <c r="E58" s="121">
        <v>0</v>
      </c>
      <c r="F58" s="215">
        <v>0</v>
      </c>
      <c r="G58" s="215">
        <f t="shared" si="17"/>
        <v>0</v>
      </c>
      <c r="H58" s="215">
        <f t="shared" si="22"/>
        <v>0</v>
      </c>
      <c r="I58" s="215">
        <f t="shared" si="22"/>
        <v>0</v>
      </c>
      <c r="J58" s="215">
        <f t="shared" si="22"/>
        <v>0</v>
      </c>
      <c r="K58" s="215">
        <f t="shared" si="22"/>
        <v>0</v>
      </c>
      <c r="L58" s="215">
        <f t="shared" si="22"/>
        <v>0</v>
      </c>
      <c r="M58" s="215">
        <f t="shared" si="22"/>
        <v>0</v>
      </c>
      <c r="N58" s="215">
        <f t="shared" si="22"/>
        <v>0</v>
      </c>
      <c r="O58" s="215">
        <f t="shared" si="22"/>
        <v>0</v>
      </c>
      <c r="P58" s="215">
        <f t="shared" si="22"/>
        <v>0</v>
      </c>
      <c r="Q58" s="215">
        <f t="shared" si="22"/>
        <v>0</v>
      </c>
      <c r="R58" s="215">
        <f t="shared" si="22"/>
        <v>0</v>
      </c>
      <c r="S58" s="215">
        <f t="shared" si="22"/>
        <v>0</v>
      </c>
      <c r="T58" s="215">
        <f t="shared" si="22"/>
        <v>0</v>
      </c>
      <c r="U58" s="215">
        <f t="shared" si="22"/>
        <v>0</v>
      </c>
      <c r="V58" s="215">
        <f t="shared" si="22"/>
        <v>0</v>
      </c>
      <c r="W58" s="215">
        <f t="shared" si="22"/>
        <v>0</v>
      </c>
    </row>
    <row r="59" spans="2:23">
      <c r="B59" s="119" t="s">
        <v>65</v>
      </c>
      <c r="C59" s="120" t="s">
        <v>104</v>
      </c>
      <c r="D59" s="116" t="s">
        <v>59</v>
      </c>
      <c r="E59" s="121">
        <v>0</v>
      </c>
      <c r="F59" s="215">
        <v>0</v>
      </c>
      <c r="G59" s="215">
        <f t="shared" si="17"/>
        <v>0</v>
      </c>
      <c r="H59" s="215">
        <f t="shared" si="22"/>
        <v>0</v>
      </c>
      <c r="I59" s="215">
        <f t="shared" si="22"/>
        <v>0</v>
      </c>
      <c r="J59" s="215">
        <f t="shared" si="22"/>
        <v>0</v>
      </c>
      <c r="K59" s="215">
        <f t="shared" si="22"/>
        <v>0</v>
      </c>
      <c r="L59" s="215">
        <f t="shared" si="22"/>
        <v>0</v>
      </c>
      <c r="M59" s="215">
        <f t="shared" si="22"/>
        <v>0</v>
      </c>
      <c r="N59" s="215">
        <f t="shared" si="22"/>
        <v>0</v>
      </c>
      <c r="O59" s="215">
        <f t="shared" si="22"/>
        <v>0</v>
      </c>
      <c r="P59" s="215">
        <f t="shared" si="22"/>
        <v>0</v>
      </c>
      <c r="Q59" s="215">
        <f t="shared" si="22"/>
        <v>0</v>
      </c>
      <c r="R59" s="215">
        <f t="shared" si="22"/>
        <v>0</v>
      </c>
      <c r="S59" s="215">
        <f t="shared" si="22"/>
        <v>0</v>
      </c>
      <c r="T59" s="215">
        <f t="shared" si="22"/>
        <v>0</v>
      </c>
      <c r="U59" s="215">
        <f t="shared" si="22"/>
        <v>0</v>
      </c>
      <c r="V59" s="215">
        <f t="shared" si="22"/>
        <v>0</v>
      </c>
      <c r="W59" s="215">
        <f t="shared" si="22"/>
        <v>0</v>
      </c>
    </row>
    <row r="60" spans="2:23">
      <c r="B60" s="119" t="s">
        <v>67</v>
      </c>
      <c r="C60" s="120" t="s">
        <v>105</v>
      </c>
      <c r="D60" s="116" t="s">
        <v>59</v>
      </c>
      <c r="E60" s="121">
        <v>0</v>
      </c>
      <c r="F60" s="183">
        <v>0</v>
      </c>
      <c r="G60" s="215">
        <f t="shared" si="17"/>
        <v>0</v>
      </c>
      <c r="H60" s="215">
        <f t="shared" ref="H60:W64" si="26">G60+G60*0.05</f>
        <v>0</v>
      </c>
      <c r="I60" s="215">
        <f t="shared" si="26"/>
        <v>0</v>
      </c>
      <c r="J60" s="215">
        <f t="shared" si="26"/>
        <v>0</v>
      </c>
      <c r="K60" s="215">
        <f t="shared" si="26"/>
        <v>0</v>
      </c>
      <c r="L60" s="215">
        <f t="shared" si="26"/>
        <v>0</v>
      </c>
      <c r="M60" s="215">
        <f t="shared" si="26"/>
        <v>0</v>
      </c>
      <c r="N60" s="215">
        <f t="shared" si="26"/>
        <v>0</v>
      </c>
      <c r="O60" s="215">
        <f t="shared" si="26"/>
        <v>0</v>
      </c>
      <c r="P60" s="215">
        <f t="shared" si="26"/>
        <v>0</v>
      </c>
      <c r="Q60" s="215">
        <f t="shared" si="26"/>
        <v>0</v>
      </c>
      <c r="R60" s="215">
        <f t="shared" si="26"/>
        <v>0</v>
      </c>
      <c r="S60" s="215">
        <f t="shared" si="26"/>
        <v>0</v>
      </c>
      <c r="T60" s="215">
        <f t="shared" si="26"/>
        <v>0</v>
      </c>
      <c r="U60" s="215">
        <f t="shared" si="26"/>
        <v>0</v>
      </c>
      <c r="V60" s="215">
        <f t="shared" si="26"/>
        <v>0</v>
      </c>
      <c r="W60" s="215">
        <f t="shared" si="26"/>
        <v>0</v>
      </c>
    </row>
    <row r="61" spans="2:23">
      <c r="B61" s="114" t="s">
        <v>61</v>
      </c>
      <c r="C61" s="115" t="s">
        <v>110</v>
      </c>
      <c r="D61" s="116" t="s">
        <v>59</v>
      </c>
      <c r="E61" s="117">
        <f>E46+E47-E55</f>
        <v>1015872.48</v>
      </c>
      <c r="F61" s="117">
        <f>F46+F47-F55</f>
        <v>804557.26000000036</v>
      </c>
      <c r="G61" s="117">
        <f>G46+G47-G55</f>
        <v>954539.92200000084</v>
      </c>
      <c r="H61" s="117">
        <f t="shared" ref="H61:W61" si="27">H46+H47-H55</f>
        <v>729568.63243637711</v>
      </c>
      <c r="I61" s="117">
        <f t="shared" si="27"/>
        <v>1148709.8663671247</v>
      </c>
      <c r="J61" s="117">
        <f t="shared" si="27"/>
        <v>1300246.3804781097</v>
      </c>
      <c r="K61" s="117">
        <f t="shared" si="27"/>
        <v>1454654.6692550073</v>
      </c>
      <c r="L61" s="117">
        <f t="shared" si="27"/>
        <v>1612313.5739831037</v>
      </c>
      <c r="M61" s="117">
        <f t="shared" si="27"/>
        <v>1773609.115384337</v>
      </c>
      <c r="N61" s="117">
        <f t="shared" si="27"/>
        <v>1938935.4407205258</v>
      </c>
      <c r="O61" s="117">
        <f t="shared" si="27"/>
        <v>2108695.7888451815</v>
      </c>
      <c r="P61" s="117">
        <f t="shared" si="27"/>
        <v>2283303.4755716231</v>
      </c>
      <c r="Q61" s="117">
        <f t="shared" si="27"/>
        <v>2463182.9017701903</v>
      </c>
      <c r="R61" s="117">
        <f t="shared" si="27"/>
        <v>2648770.5866576862</v>
      </c>
      <c r="S61" s="117">
        <f t="shared" si="27"/>
        <v>2840516.2287996104</v>
      </c>
      <c r="T61" s="117">
        <f t="shared" si="27"/>
        <v>3038883.7974081705</v>
      </c>
      <c r="U61" s="117">
        <f t="shared" si="27"/>
        <v>3244352.6565887285</v>
      </c>
      <c r="V61" s="117">
        <f t="shared" si="27"/>
        <v>3457418.7252628105</v>
      </c>
      <c r="W61" s="117">
        <f t="shared" si="27"/>
        <v>3678595.6755783712</v>
      </c>
    </row>
    <row r="62" spans="2:23">
      <c r="B62" s="114" t="s">
        <v>111</v>
      </c>
      <c r="C62" s="115" t="s">
        <v>112</v>
      </c>
      <c r="D62" s="116" t="s">
        <v>59</v>
      </c>
      <c r="E62" s="117">
        <f>SUM(E63:E64)</f>
        <v>0</v>
      </c>
      <c r="F62" s="117">
        <f>SUM(F63:F64)</f>
        <v>0</v>
      </c>
      <c r="G62" s="117">
        <f>SUM(G63:G64)</f>
        <v>0</v>
      </c>
      <c r="H62" s="117">
        <f t="shared" ref="H62:W62" si="28">SUM(H63:H64)</f>
        <v>0</v>
      </c>
      <c r="I62" s="117">
        <f t="shared" si="28"/>
        <v>0</v>
      </c>
      <c r="J62" s="117">
        <f t="shared" si="28"/>
        <v>0</v>
      </c>
      <c r="K62" s="117">
        <f t="shared" si="28"/>
        <v>0</v>
      </c>
      <c r="L62" s="117">
        <f t="shared" si="28"/>
        <v>0</v>
      </c>
      <c r="M62" s="117">
        <f t="shared" si="28"/>
        <v>0</v>
      </c>
      <c r="N62" s="117">
        <f t="shared" si="28"/>
        <v>0</v>
      </c>
      <c r="O62" s="117">
        <f t="shared" si="28"/>
        <v>0</v>
      </c>
      <c r="P62" s="117">
        <f t="shared" si="28"/>
        <v>0</v>
      </c>
      <c r="Q62" s="117">
        <f t="shared" si="28"/>
        <v>0</v>
      </c>
      <c r="R62" s="117">
        <f t="shared" si="28"/>
        <v>0</v>
      </c>
      <c r="S62" s="117">
        <f t="shared" si="28"/>
        <v>0</v>
      </c>
      <c r="T62" s="117">
        <f t="shared" si="28"/>
        <v>0</v>
      </c>
      <c r="U62" s="117">
        <f t="shared" si="28"/>
        <v>0</v>
      </c>
      <c r="V62" s="117">
        <f t="shared" si="28"/>
        <v>0</v>
      </c>
      <c r="W62" s="117">
        <f t="shared" si="28"/>
        <v>0</v>
      </c>
    </row>
    <row r="63" spans="2:23">
      <c r="B63" s="119" t="s">
        <v>61</v>
      </c>
      <c r="C63" s="120" t="s">
        <v>113</v>
      </c>
      <c r="D63" s="116" t="s">
        <v>59</v>
      </c>
      <c r="E63" s="121">
        <v>0</v>
      </c>
      <c r="F63" s="121">
        <v>0</v>
      </c>
      <c r="G63" s="215">
        <f t="shared" si="17"/>
        <v>0</v>
      </c>
      <c r="H63" s="215">
        <f t="shared" si="26"/>
        <v>0</v>
      </c>
      <c r="I63" s="215">
        <f t="shared" si="26"/>
        <v>0</v>
      </c>
      <c r="J63" s="215">
        <f t="shared" si="26"/>
        <v>0</v>
      </c>
      <c r="K63" s="215">
        <f t="shared" si="26"/>
        <v>0</v>
      </c>
      <c r="L63" s="215">
        <f t="shared" si="26"/>
        <v>0</v>
      </c>
      <c r="M63" s="215">
        <f t="shared" si="26"/>
        <v>0</v>
      </c>
      <c r="N63" s="215">
        <f t="shared" si="26"/>
        <v>0</v>
      </c>
      <c r="O63" s="215">
        <f t="shared" si="26"/>
        <v>0</v>
      </c>
      <c r="P63" s="215">
        <f t="shared" si="26"/>
        <v>0</v>
      </c>
      <c r="Q63" s="215">
        <f t="shared" si="26"/>
        <v>0</v>
      </c>
      <c r="R63" s="215">
        <f t="shared" si="26"/>
        <v>0</v>
      </c>
      <c r="S63" s="215">
        <f t="shared" si="26"/>
        <v>0</v>
      </c>
      <c r="T63" s="215">
        <f t="shared" si="26"/>
        <v>0</v>
      </c>
      <c r="U63" s="215">
        <f t="shared" si="26"/>
        <v>0</v>
      </c>
      <c r="V63" s="215">
        <f t="shared" si="26"/>
        <v>0</v>
      </c>
      <c r="W63" s="215">
        <f t="shared" si="26"/>
        <v>0</v>
      </c>
    </row>
    <row r="64" spans="2:23">
      <c r="B64" s="119" t="s">
        <v>63</v>
      </c>
      <c r="C64" s="120" t="s">
        <v>114</v>
      </c>
      <c r="D64" s="116" t="s">
        <v>59</v>
      </c>
      <c r="E64" s="121">
        <v>0</v>
      </c>
      <c r="F64" s="121">
        <v>0</v>
      </c>
      <c r="G64" s="215">
        <f t="shared" si="17"/>
        <v>0</v>
      </c>
      <c r="H64" s="215">
        <f t="shared" si="26"/>
        <v>0</v>
      </c>
      <c r="I64" s="215">
        <f t="shared" si="26"/>
        <v>0</v>
      </c>
      <c r="J64" s="215">
        <f t="shared" si="26"/>
        <v>0</v>
      </c>
      <c r="K64" s="215">
        <f t="shared" si="26"/>
        <v>0</v>
      </c>
      <c r="L64" s="215">
        <f t="shared" si="26"/>
        <v>0</v>
      </c>
      <c r="M64" s="215">
        <f t="shared" si="26"/>
        <v>0</v>
      </c>
      <c r="N64" s="215">
        <f t="shared" si="26"/>
        <v>0</v>
      </c>
      <c r="O64" s="215">
        <f t="shared" si="26"/>
        <v>0</v>
      </c>
      <c r="P64" s="215">
        <f t="shared" si="26"/>
        <v>0</v>
      </c>
      <c r="Q64" s="215">
        <f t="shared" si="26"/>
        <v>0</v>
      </c>
      <c r="R64" s="215">
        <f t="shared" si="26"/>
        <v>0</v>
      </c>
      <c r="S64" s="215">
        <f t="shared" si="26"/>
        <v>0</v>
      </c>
      <c r="T64" s="215">
        <f t="shared" si="26"/>
        <v>0</v>
      </c>
      <c r="U64" s="215">
        <f t="shared" si="26"/>
        <v>0</v>
      </c>
      <c r="V64" s="215">
        <f t="shared" si="26"/>
        <v>0</v>
      </c>
      <c r="W64" s="215">
        <f t="shared" si="26"/>
        <v>0</v>
      </c>
    </row>
    <row r="65" spans="2:23">
      <c r="B65" s="114" t="s">
        <v>115</v>
      </c>
      <c r="C65" s="124" t="s">
        <v>116</v>
      </c>
      <c r="D65" s="116" t="s">
        <v>59</v>
      </c>
      <c r="E65" s="117">
        <f>E61+E62</f>
        <v>1015872.48</v>
      </c>
      <c r="F65" s="117">
        <f>F61+F62</f>
        <v>804557.26000000036</v>
      </c>
      <c r="G65" s="117">
        <f>G61+G62</f>
        <v>954539.92200000084</v>
      </c>
      <c r="H65" s="117">
        <f t="shared" ref="H65:W65" si="29">H61+H62</f>
        <v>729568.63243637711</v>
      </c>
      <c r="I65" s="117">
        <f t="shared" si="29"/>
        <v>1148709.8663671247</v>
      </c>
      <c r="J65" s="117">
        <f t="shared" si="29"/>
        <v>1300246.3804781097</v>
      </c>
      <c r="K65" s="117">
        <f t="shared" si="29"/>
        <v>1454654.6692550073</v>
      </c>
      <c r="L65" s="117">
        <f t="shared" si="29"/>
        <v>1612313.5739831037</v>
      </c>
      <c r="M65" s="117">
        <f t="shared" si="29"/>
        <v>1773609.115384337</v>
      </c>
      <c r="N65" s="117">
        <f t="shared" si="29"/>
        <v>1938935.4407205258</v>
      </c>
      <c r="O65" s="117">
        <f t="shared" si="29"/>
        <v>2108695.7888451815</v>
      </c>
      <c r="P65" s="117">
        <f t="shared" si="29"/>
        <v>2283303.4755716231</v>
      </c>
      <c r="Q65" s="117">
        <f t="shared" si="29"/>
        <v>2463182.9017701903</v>
      </c>
      <c r="R65" s="117">
        <f t="shared" si="29"/>
        <v>2648770.5866576862</v>
      </c>
      <c r="S65" s="117">
        <f t="shared" si="29"/>
        <v>2840516.2287996104</v>
      </c>
      <c r="T65" s="117">
        <f t="shared" si="29"/>
        <v>3038883.7974081705</v>
      </c>
      <c r="U65" s="117">
        <f t="shared" si="29"/>
        <v>3244352.6565887285</v>
      </c>
      <c r="V65" s="117">
        <f t="shared" si="29"/>
        <v>3457418.7252628105</v>
      </c>
      <c r="W65" s="117">
        <f t="shared" si="29"/>
        <v>3678595.6755783712</v>
      </c>
    </row>
    <row r="66" spans="2:23">
      <c r="B66" s="114" t="s">
        <v>117</v>
      </c>
      <c r="C66" s="124" t="s">
        <v>118</v>
      </c>
      <c r="D66" s="116" t="s">
        <v>59</v>
      </c>
      <c r="E66" s="117">
        <v>215645</v>
      </c>
      <c r="F66" s="183">
        <v>158091</v>
      </c>
      <c r="G66" s="215">
        <f>G65*0.19</f>
        <v>181362.58518000017</v>
      </c>
      <c r="H66" s="215">
        <f t="shared" ref="H66:W66" si="30">H65*0.19</f>
        <v>138618.04016291164</v>
      </c>
      <c r="I66" s="215">
        <f t="shared" si="30"/>
        <v>218254.87460975369</v>
      </c>
      <c r="J66" s="215">
        <f t="shared" si="30"/>
        <v>247046.81229084084</v>
      </c>
      <c r="K66" s="215">
        <f t="shared" si="30"/>
        <v>276384.38715845137</v>
      </c>
      <c r="L66" s="215">
        <f t="shared" si="30"/>
        <v>306339.57905678969</v>
      </c>
      <c r="M66" s="215">
        <f t="shared" si="30"/>
        <v>336985.73192302405</v>
      </c>
      <c r="N66" s="215">
        <f t="shared" si="30"/>
        <v>368397.73373689991</v>
      </c>
      <c r="O66" s="215">
        <f t="shared" si="30"/>
        <v>400652.19988058449</v>
      </c>
      <c r="P66" s="215">
        <f t="shared" si="30"/>
        <v>433827.66035860841</v>
      </c>
      <c r="Q66" s="215">
        <f t="shared" si="30"/>
        <v>468004.75133633619</v>
      </c>
      <c r="R66" s="215">
        <f t="shared" si="30"/>
        <v>503266.41146496037</v>
      </c>
      <c r="S66" s="215">
        <f t="shared" si="30"/>
        <v>539698.08347192593</v>
      </c>
      <c r="T66" s="215">
        <f t="shared" si="30"/>
        <v>577387.92150755238</v>
      </c>
      <c r="U66" s="215">
        <f t="shared" si="30"/>
        <v>616427.00475185842</v>
      </c>
      <c r="V66" s="215">
        <f t="shared" si="30"/>
        <v>656909.55779993394</v>
      </c>
      <c r="W66" s="215">
        <f t="shared" si="30"/>
        <v>698933.17835989047</v>
      </c>
    </row>
    <row r="67" spans="2:23" ht="26.25">
      <c r="B67" s="114" t="s">
        <v>119</v>
      </c>
      <c r="C67" s="115" t="s">
        <v>120</v>
      </c>
      <c r="D67" s="116" t="s">
        <v>59</v>
      </c>
      <c r="E67" s="117">
        <v>0</v>
      </c>
      <c r="F67" s="117">
        <v>0</v>
      </c>
      <c r="G67" s="117">
        <v>0</v>
      </c>
      <c r="H67" s="117">
        <v>0</v>
      </c>
      <c r="I67" s="117">
        <v>0</v>
      </c>
      <c r="J67" s="117">
        <v>0</v>
      </c>
      <c r="K67" s="117">
        <v>0</v>
      </c>
      <c r="L67" s="117">
        <v>0</v>
      </c>
      <c r="M67" s="117">
        <v>0</v>
      </c>
      <c r="N67" s="117">
        <v>0</v>
      </c>
      <c r="O67" s="117">
        <v>0</v>
      </c>
      <c r="P67" s="117">
        <v>0</v>
      </c>
      <c r="Q67" s="117">
        <v>0</v>
      </c>
      <c r="R67" s="117">
        <v>0</v>
      </c>
      <c r="S67" s="117">
        <v>0</v>
      </c>
      <c r="T67" s="117">
        <v>0</v>
      </c>
      <c r="U67" s="117">
        <v>0</v>
      </c>
      <c r="V67" s="117">
        <v>0</v>
      </c>
      <c r="W67" s="117">
        <v>0</v>
      </c>
    </row>
    <row r="68" spans="2:23">
      <c r="B68" s="114" t="s">
        <v>121</v>
      </c>
      <c r="C68" s="124" t="s">
        <v>122</v>
      </c>
      <c r="D68" s="116" t="s">
        <v>59</v>
      </c>
      <c r="E68" s="117">
        <f>E65-E66</f>
        <v>800227.48</v>
      </c>
      <c r="F68" s="117">
        <f>F65-F66</f>
        <v>646466.26000000036</v>
      </c>
      <c r="G68" s="117">
        <f>G65-G66</f>
        <v>773177.33682000067</v>
      </c>
      <c r="H68" s="117">
        <f t="shared" ref="H68:W68" si="31">H65-H66</f>
        <v>590950.59227346547</v>
      </c>
      <c r="I68" s="117">
        <f t="shared" si="31"/>
        <v>930454.991757371</v>
      </c>
      <c r="J68" s="117">
        <f t="shared" si="31"/>
        <v>1053199.5681872689</v>
      </c>
      <c r="K68" s="117">
        <f t="shared" si="31"/>
        <v>1178270.2820965559</v>
      </c>
      <c r="L68" s="117">
        <f t="shared" si="31"/>
        <v>1305973.9949263141</v>
      </c>
      <c r="M68" s="117">
        <f t="shared" si="31"/>
        <v>1436623.3834613129</v>
      </c>
      <c r="N68" s="117">
        <f t="shared" si="31"/>
        <v>1570537.7069836259</v>
      </c>
      <c r="O68" s="117">
        <f t="shared" si="31"/>
        <v>1708043.5889645969</v>
      </c>
      <c r="P68" s="117">
        <f t="shared" si="31"/>
        <v>1849475.8152130146</v>
      </c>
      <c r="Q68" s="117">
        <f t="shared" si="31"/>
        <v>1995178.1504338542</v>
      </c>
      <c r="R68" s="117">
        <f t="shared" si="31"/>
        <v>2145504.1751927258</v>
      </c>
      <c r="S68" s="117">
        <f t="shared" si="31"/>
        <v>2300818.1453276845</v>
      </c>
      <c r="T68" s="117">
        <f t="shared" si="31"/>
        <v>2461495.8759006183</v>
      </c>
      <c r="U68" s="117">
        <f t="shared" si="31"/>
        <v>2627925.6518368702</v>
      </c>
      <c r="V68" s="117">
        <f t="shared" si="31"/>
        <v>2800509.1674628765</v>
      </c>
      <c r="W68" s="117">
        <f t="shared" si="31"/>
        <v>2979662.4972184808</v>
      </c>
    </row>
    <row r="69" spans="2:23">
      <c r="C69" s="187"/>
      <c r="D69" s="188"/>
      <c r="E69" s="185"/>
      <c r="F69" s="189"/>
      <c r="G69" s="189"/>
      <c r="H69" s="189"/>
    </row>
    <row r="70" spans="2:23">
      <c r="C70" s="161"/>
      <c r="D70" s="190"/>
      <c r="E70" s="185"/>
      <c r="F70" s="186"/>
      <c r="G70" s="186"/>
      <c r="H70" s="186"/>
    </row>
    <row r="71" spans="2:23">
      <c r="C71" s="161" t="s">
        <v>236</v>
      </c>
      <c r="D71" s="190"/>
      <c r="E71" s="185"/>
      <c r="F71" s="186"/>
      <c r="G71" s="186"/>
      <c r="H71" s="186"/>
    </row>
    <row r="72" spans="2:23">
      <c r="B72" s="210" t="s">
        <v>126</v>
      </c>
      <c r="C72" s="211"/>
      <c r="D72" s="115"/>
      <c r="E72" s="116"/>
      <c r="F72" s="117"/>
      <c r="G72" s="186"/>
      <c r="H72" s="186"/>
    </row>
    <row r="73" spans="2:23">
      <c r="B73" s="125" t="s">
        <v>54</v>
      </c>
      <c r="C73" s="127" t="s">
        <v>55</v>
      </c>
      <c r="D73" s="129" t="s">
        <v>56</v>
      </c>
      <c r="E73" s="113">
        <v>2012</v>
      </c>
      <c r="F73" s="113">
        <v>2013</v>
      </c>
      <c r="G73" s="186"/>
      <c r="H73" s="186"/>
    </row>
    <row r="74" spans="2:23">
      <c r="B74" s="129" t="s">
        <v>57</v>
      </c>
      <c r="C74" s="130" t="s">
        <v>127</v>
      </c>
      <c r="D74" s="131" t="s">
        <v>59</v>
      </c>
      <c r="E74" s="132">
        <f>E75+E76+E85+E86+E87</f>
        <v>9834462.2199999969</v>
      </c>
      <c r="F74" s="132">
        <f>F75+F76+F85+F86+F87</f>
        <v>10432243.91</v>
      </c>
      <c r="G74" s="108"/>
      <c r="H74" s="108"/>
    </row>
    <row r="75" spans="2:23">
      <c r="B75" s="133" t="s">
        <v>61</v>
      </c>
      <c r="C75" s="134" t="s">
        <v>128</v>
      </c>
      <c r="D75" s="131" t="s">
        <v>59</v>
      </c>
      <c r="E75" s="135">
        <v>3648.94</v>
      </c>
      <c r="F75" s="135">
        <v>42928.17</v>
      </c>
      <c r="G75" s="108"/>
      <c r="H75" s="108"/>
    </row>
    <row r="76" spans="2:23">
      <c r="B76" s="133" t="s">
        <v>63</v>
      </c>
      <c r="C76" s="134" t="s">
        <v>129</v>
      </c>
      <c r="D76" s="131" t="s">
        <v>59</v>
      </c>
      <c r="E76" s="135">
        <f>E77+E83+E84</f>
        <v>9704492.2799999975</v>
      </c>
      <c r="F76" s="135">
        <f>F77+F83+F84</f>
        <v>10259204.74</v>
      </c>
      <c r="G76" s="108"/>
      <c r="H76" s="108"/>
    </row>
    <row r="77" spans="2:23">
      <c r="B77" s="133" t="s">
        <v>130</v>
      </c>
      <c r="C77" s="134" t="s">
        <v>131</v>
      </c>
      <c r="D77" s="131" t="s">
        <v>59</v>
      </c>
      <c r="E77" s="135">
        <f>SUM(E78:E82)</f>
        <v>9632901.6099999975</v>
      </c>
      <c r="F77" s="135">
        <f>SUM(F78:F82)</f>
        <v>10202479.140000001</v>
      </c>
      <c r="G77" s="217"/>
      <c r="H77" s="217"/>
    </row>
    <row r="78" spans="2:23">
      <c r="B78" s="133"/>
      <c r="C78" s="134" t="s">
        <v>132</v>
      </c>
      <c r="D78" s="131" t="s">
        <v>59</v>
      </c>
      <c r="E78" s="135">
        <v>408771.64</v>
      </c>
      <c r="F78" s="135">
        <v>408771.64</v>
      </c>
      <c r="G78" s="163"/>
      <c r="H78" s="163"/>
    </row>
    <row r="79" spans="2:23">
      <c r="B79" s="133"/>
      <c r="C79" s="134" t="s">
        <v>133</v>
      </c>
      <c r="D79" s="131" t="s">
        <v>59</v>
      </c>
      <c r="E79" s="135">
        <v>7992659.1900000004</v>
      </c>
      <c r="F79" s="136">
        <v>7670313.6699999999</v>
      </c>
      <c r="G79" s="173"/>
      <c r="H79" s="173"/>
    </row>
    <row r="80" spans="2:23">
      <c r="B80" s="133"/>
      <c r="C80" s="134" t="s">
        <v>134</v>
      </c>
      <c r="D80" s="131" t="s">
        <v>59</v>
      </c>
      <c r="E80" s="135">
        <v>1060665.7</v>
      </c>
      <c r="F80" s="136">
        <v>2016757.83</v>
      </c>
      <c r="G80" s="192"/>
      <c r="H80" s="192"/>
    </row>
    <row r="81" spans="2:8">
      <c r="B81" s="133"/>
      <c r="C81" s="134" t="s">
        <v>135</v>
      </c>
      <c r="D81" s="131" t="s">
        <v>59</v>
      </c>
      <c r="E81" s="135">
        <v>147641.29</v>
      </c>
      <c r="F81" s="136">
        <v>90726.21</v>
      </c>
      <c r="G81" s="192"/>
      <c r="H81" s="192"/>
    </row>
    <row r="82" spans="2:8">
      <c r="B82" s="133"/>
      <c r="C82" s="134" t="s">
        <v>136</v>
      </c>
      <c r="D82" s="131" t="s">
        <v>59</v>
      </c>
      <c r="E82" s="135">
        <v>23163.79</v>
      </c>
      <c r="F82" s="136">
        <v>15909.79</v>
      </c>
      <c r="G82" s="192"/>
      <c r="H82" s="192"/>
    </row>
    <row r="83" spans="2:8">
      <c r="B83" s="133" t="s">
        <v>137</v>
      </c>
      <c r="C83" s="134" t="s">
        <v>138</v>
      </c>
      <c r="D83" s="131" t="s">
        <v>59</v>
      </c>
      <c r="E83" s="135">
        <v>71590.67</v>
      </c>
      <c r="F83" s="136">
        <v>56725.599999999999</v>
      </c>
      <c r="G83" s="192"/>
      <c r="H83" s="192"/>
    </row>
    <row r="84" spans="2:8">
      <c r="B84" s="133" t="s">
        <v>139</v>
      </c>
      <c r="C84" s="134" t="s">
        <v>140</v>
      </c>
      <c r="D84" s="131" t="s">
        <v>59</v>
      </c>
      <c r="E84" s="135">
        <v>0</v>
      </c>
      <c r="F84" s="136">
        <v>0</v>
      </c>
      <c r="G84" s="192"/>
      <c r="H84" s="192"/>
    </row>
    <row r="85" spans="2:8">
      <c r="B85" s="133" t="s">
        <v>65</v>
      </c>
      <c r="C85" s="134" t="s">
        <v>141</v>
      </c>
      <c r="D85" s="131" t="s">
        <v>59</v>
      </c>
      <c r="E85" s="135">
        <v>0</v>
      </c>
      <c r="F85" s="135">
        <v>0</v>
      </c>
      <c r="G85" s="192"/>
      <c r="H85" s="192"/>
    </row>
    <row r="86" spans="2:8">
      <c r="B86" s="133" t="s">
        <v>67</v>
      </c>
      <c r="C86" s="134" t="s">
        <v>142</v>
      </c>
      <c r="D86" s="131" t="s">
        <v>59</v>
      </c>
      <c r="E86" s="135">
        <v>0</v>
      </c>
      <c r="F86" s="135">
        <v>0</v>
      </c>
      <c r="G86" s="192"/>
      <c r="H86" s="192"/>
    </row>
    <row r="87" spans="2:8">
      <c r="B87" s="133" t="s">
        <v>77</v>
      </c>
      <c r="C87" s="134" t="s">
        <v>143</v>
      </c>
      <c r="D87" s="131" t="s">
        <v>59</v>
      </c>
      <c r="E87" s="135">
        <v>126321</v>
      </c>
      <c r="F87" s="135">
        <v>130111</v>
      </c>
      <c r="G87" s="192"/>
      <c r="H87" s="192"/>
    </row>
    <row r="88" spans="2:8">
      <c r="B88" s="129" t="s">
        <v>69</v>
      </c>
      <c r="C88" s="130" t="s">
        <v>144</v>
      </c>
      <c r="D88" s="131" t="s">
        <v>59</v>
      </c>
      <c r="E88" s="132">
        <f>E89+E90+E91+E92</f>
        <v>5455097.1000000006</v>
      </c>
      <c r="F88" s="132">
        <f>F89+F90+F91+F92</f>
        <v>4675193.08</v>
      </c>
      <c r="G88" s="192"/>
      <c r="H88" s="192"/>
    </row>
    <row r="89" spans="2:8">
      <c r="B89" s="133" t="s">
        <v>61</v>
      </c>
      <c r="C89" s="137" t="s">
        <v>145</v>
      </c>
      <c r="D89" s="131" t="s">
        <v>59</v>
      </c>
      <c r="E89" s="135">
        <v>2847957</v>
      </c>
      <c r="F89" s="135">
        <v>1483885.08</v>
      </c>
      <c r="G89" s="192"/>
      <c r="H89" s="192"/>
    </row>
    <row r="90" spans="2:8">
      <c r="B90" s="133" t="s">
        <v>63</v>
      </c>
      <c r="C90" s="137" t="s">
        <v>146</v>
      </c>
      <c r="D90" s="131" t="s">
        <v>59</v>
      </c>
      <c r="E90" s="135">
        <v>2572059.66</v>
      </c>
      <c r="F90" s="136">
        <v>2058701.05</v>
      </c>
      <c r="G90" s="192"/>
      <c r="H90" s="192"/>
    </row>
    <row r="91" spans="2:8">
      <c r="B91" s="133" t="s">
        <v>65</v>
      </c>
      <c r="C91" s="137" t="s">
        <v>147</v>
      </c>
      <c r="D91" s="131" t="s">
        <v>59</v>
      </c>
      <c r="E91" s="135">
        <v>5599.44</v>
      </c>
      <c r="F91" s="136">
        <v>1069952.22</v>
      </c>
      <c r="G91" s="192"/>
      <c r="H91" s="192"/>
    </row>
    <row r="92" spans="2:8">
      <c r="B92" s="133" t="s">
        <v>67</v>
      </c>
      <c r="C92" s="137" t="s">
        <v>148</v>
      </c>
      <c r="D92" s="131" t="s">
        <v>59</v>
      </c>
      <c r="E92" s="138">
        <v>29481</v>
      </c>
      <c r="F92" s="139">
        <v>62654.73</v>
      </c>
      <c r="G92" s="192"/>
      <c r="H92" s="192"/>
    </row>
    <row r="93" spans="2:8">
      <c r="B93" s="129"/>
      <c r="C93" s="129" t="s">
        <v>149</v>
      </c>
      <c r="D93" s="131" t="s">
        <v>59</v>
      </c>
      <c r="E93" s="132">
        <f>E74+E88</f>
        <v>15289559.319999997</v>
      </c>
      <c r="F93" s="132">
        <f>F74+F88</f>
        <v>15107436.99</v>
      </c>
      <c r="G93" s="173"/>
      <c r="H93" s="173"/>
    </row>
    <row r="94" spans="2:8">
      <c r="G94" s="192"/>
      <c r="H94" s="192"/>
    </row>
    <row r="95" spans="2:8">
      <c r="B95" s="210" t="s">
        <v>150</v>
      </c>
      <c r="C95" s="211"/>
      <c r="D95" s="211"/>
      <c r="E95" s="211"/>
      <c r="F95" s="211"/>
      <c r="G95" s="192"/>
      <c r="H95" s="192"/>
    </row>
    <row r="96" spans="2:8">
      <c r="B96" s="140" t="s">
        <v>54</v>
      </c>
      <c r="C96" s="140" t="s">
        <v>55</v>
      </c>
      <c r="D96" s="141" t="s">
        <v>56</v>
      </c>
      <c r="E96" s="110">
        <v>2012</v>
      </c>
      <c r="F96" s="112">
        <v>2013</v>
      </c>
      <c r="G96" s="192"/>
      <c r="H96" s="192"/>
    </row>
    <row r="97" spans="2:8">
      <c r="B97" s="129" t="s">
        <v>57</v>
      </c>
      <c r="C97" s="142" t="s">
        <v>151</v>
      </c>
      <c r="D97" s="131" t="s">
        <v>59</v>
      </c>
      <c r="E97" s="132">
        <f>SUM(E98:E106)</f>
        <v>10907341.48</v>
      </c>
      <c r="F97" s="143">
        <f>SUM(F98:F106)</f>
        <v>11253807.74</v>
      </c>
      <c r="G97" s="193"/>
      <c r="H97" s="193"/>
    </row>
    <row r="98" spans="2:8">
      <c r="B98" s="133" t="s">
        <v>61</v>
      </c>
      <c r="C98" s="144" t="s">
        <v>152</v>
      </c>
      <c r="D98" s="131" t="s">
        <v>59</v>
      </c>
      <c r="E98" s="135">
        <v>4750500</v>
      </c>
      <c r="F98" s="136">
        <v>4750500</v>
      </c>
      <c r="G98" s="173"/>
      <c r="H98" s="173"/>
    </row>
    <row r="99" spans="2:8">
      <c r="B99" s="133" t="s">
        <v>63</v>
      </c>
      <c r="C99" s="144" t="s">
        <v>153</v>
      </c>
      <c r="D99" s="131" t="s">
        <v>59</v>
      </c>
      <c r="E99" s="135">
        <v>0</v>
      </c>
      <c r="F99" s="136">
        <v>0</v>
      </c>
      <c r="G99" s="108"/>
      <c r="H99" s="108"/>
    </row>
    <row r="100" spans="2:8">
      <c r="B100" s="133" t="s">
        <v>65</v>
      </c>
      <c r="C100" s="144" t="s">
        <v>154</v>
      </c>
      <c r="D100" s="131" t="s">
        <v>59</v>
      </c>
      <c r="E100" s="135">
        <v>0</v>
      </c>
      <c r="F100" s="136">
        <v>0</v>
      </c>
      <c r="G100" s="217"/>
      <c r="H100" s="217"/>
    </row>
    <row r="101" spans="2:8">
      <c r="B101" s="133" t="s">
        <v>67</v>
      </c>
      <c r="C101" s="144" t="s">
        <v>155</v>
      </c>
      <c r="D101" s="131" t="s">
        <v>59</v>
      </c>
      <c r="E101" s="135">
        <v>4130258.49</v>
      </c>
      <c r="F101" s="136">
        <v>4657271.66</v>
      </c>
      <c r="G101" s="163"/>
      <c r="H101" s="163"/>
    </row>
    <row r="102" spans="2:8">
      <c r="B102" s="133" t="s">
        <v>77</v>
      </c>
      <c r="C102" s="144" t="s">
        <v>156</v>
      </c>
      <c r="D102" s="131" t="s">
        <v>59</v>
      </c>
      <c r="E102" s="135">
        <v>1226355.51</v>
      </c>
      <c r="F102" s="136">
        <v>1199569.82</v>
      </c>
      <c r="G102" s="173"/>
      <c r="H102" s="173"/>
    </row>
    <row r="103" spans="2:8">
      <c r="B103" s="133" t="s">
        <v>79</v>
      </c>
      <c r="C103" s="144" t="s">
        <v>157</v>
      </c>
      <c r="D103" s="131" t="s">
        <v>59</v>
      </c>
      <c r="E103" s="135">
        <v>0</v>
      </c>
      <c r="F103" s="136">
        <v>0</v>
      </c>
      <c r="G103" s="192"/>
      <c r="H103" s="192"/>
    </row>
    <row r="104" spans="2:8">
      <c r="B104" s="133" t="s">
        <v>81</v>
      </c>
      <c r="C104" s="144" t="s">
        <v>158</v>
      </c>
      <c r="D104" s="131" t="s">
        <v>59</v>
      </c>
      <c r="E104" s="135">
        <v>0</v>
      </c>
      <c r="F104" s="136">
        <v>0</v>
      </c>
      <c r="G104" s="192"/>
      <c r="H104" s="192"/>
    </row>
    <row r="105" spans="2:8">
      <c r="B105" s="133" t="s">
        <v>83</v>
      </c>
      <c r="C105" s="144" t="s">
        <v>159</v>
      </c>
      <c r="D105" s="131" t="s">
        <v>59</v>
      </c>
      <c r="E105" s="135">
        <v>800227.48</v>
      </c>
      <c r="F105" s="136">
        <v>646466.26</v>
      </c>
      <c r="G105" s="192"/>
      <c r="H105" s="192"/>
    </row>
    <row r="106" spans="2:8">
      <c r="B106" s="133" t="s">
        <v>160</v>
      </c>
      <c r="C106" s="144" t="s">
        <v>161</v>
      </c>
      <c r="D106" s="131" t="s">
        <v>59</v>
      </c>
      <c r="E106" s="135">
        <v>0</v>
      </c>
      <c r="F106" s="136">
        <v>0</v>
      </c>
      <c r="G106" s="192"/>
      <c r="H106" s="192"/>
    </row>
    <row r="107" spans="2:8">
      <c r="B107" s="129" t="s">
        <v>69</v>
      </c>
      <c r="C107" s="142" t="s">
        <v>162</v>
      </c>
      <c r="D107" s="131" t="s">
        <v>59</v>
      </c>
      <c r="E107" s="132">
        <f>E108+E109+E113+E124</f>
        <v>4382217.8400000008</v>
      </c>
      <c r="F107" s="143">
        <f>F108+F109+F113+F124</f>
        <v>3853629.25</v>
      </c>
      <c r="G107" s="192"/>
      <c r="H107" s="192"/>
    </row>
    <row r="108" spans="2:8">
      <c r="B108" s="133" t="s">
        <v>61</v>
      </c>
      <c r="C108" s="144" t="s">
        <v>163</v>
      </c>
      <c r="D108" s="131" t="s">
        <v>59</v>
      </c>
      <c r="E108" s="135">
        <v>1020711.27</v>
      </c>
      <c r="F108" s="136">
        <v>988731.94</v>
      </c>
      <c r="G108" s="192"/>
      <c r="H108" s="192"/>
    </row>
    <row r="109" spans="2:8">
      <c r="B109" s="133" t="s">
        <v>63</v>
      </c>
      <c r="C109" s="144" t="s">
        <v>164</v>
      </c>
      <c r="D109" s="131" t="s">
        <v>59</v>
      </c>
      <c r="E109" s="135">
        <f>E110+E111</f>
        <v>0</v>
      </c>
      <c r="F109" s="136">
        <f>F111+F110</f>
        <v>712000</v>
      </c>
      <c r="G109" s="192"/>
      <c r="H109" s="192"/>
    </row>
    <row r="110" spans="2:8">
      <c r="B110" s="133" t="s">
        <v>130</v>
      </c>
      <c r="C110" s="144" t="s">
        <v>165</v>
      </c>
      <c r="D110" s="131" t="s">
        <v>59</v>
      </c>
      <c r="E110" s="135">
        <v>0</v>
      </c>
      <c r="F110" s="136">
        <v>0</v>
      </c>
      <c r="G110" s="192"/>
      <c r="H110" s="192"/>
    </row>
    <row r="111" spans="2:8">
      <c r="B111" s="133" t="s">
        <v>137</v>
      </c>
      <c r="C111" s="144" t="s">
        <v>166</v>
      </c>
      <c r="D111" s="131" t="s">
        <v>59</v>
      </c>
      <c r="E111" s="135">
        <f>E112</f>
        <v>0</v>
      </c>
      <c r="F111" s="136">
        <f>F112</f>
        <v>712000</v>
      </c>
      <c r="G111" s="192"/>
      <c r="H111" s="192"/>
    </row>
    <row r="112" spans="2:8">
      <c r="B112" s="133"/>
      <c r="C112" s="144" t="s">
        <v>167</v>
      </c>
      <c r="D112" s="131" t="s">
        <v>59</v>
      </c>
      <c r="E112" s="135">
        <v>0</v>
      </c>
      <c r="F112" s="136">
        <v>712000</v>
      </c>
      <c r="G112" s="173"/>
      <c r="H112" s="173"/>
    </row>
    <row r="113" spans="2:8">
      <c r="B113" s="133" t="s">
        <v>65</v>
      </c>
      <c r="C113" s="144" t="s">
        <v>168</v>
      </c>
      <c r="D113" s="131" t="s">
        <v>59</v>
      </c>
      <c r="E113" s="135">
        <f>E114+E115+E123</f>
        <v>3359406.4400000004</v>
      </c>
      <c r="F113" s="136">
        <f>F114+F115+F123</f>
        <v>2152897.31</v>
      </c>
      <c r="G113" s="192"/>
      <c r="H113" s="192"/>
    </row>
    <row r="114" spans="2:8">
      <c r="B114" s="133" t="s">
        <v>130</v>
      </c>
      <c r="C114" s="144" t="s">
        <v>165</v>
      </c>
      <c r="D114" s="131" t="s">
        <v>59</v>
      </c>
      <c r="E114" s="135">
        <v>0</v>
      </c>
      <c r="F114" s="136">
        <v>0</v>
      </c>
      <c r="G114" s="192"/>
      <c r="H114" s="192"/>
    </row>
    <row r="115" spans="2:8">
      <c r="B115" s="133" t="s">
        <v>137</v>
      </c>
      <c r="C115" s="144" t="s">
        <v>166</v>
      </c>
      <c r="D115" s="131" t="s">
        <v>59</v>
      </c>
      <c r="E115" s="135">
        <f>SUM(E116:E122)</f>
        <v>3295884.0300000003</v>
      </c>
      <c r="F115" s="136">
        <f>SUM(F116:F122)</f>
        <v>2080358.3999999999</v>
      </c>
      <c r="G115" s="192"/>
      <c r="H115" s="192"/>
    </row>
    <row r="116" spans="2:8">
      <c r="B116" s="133"/>
      <c r="C116" s="144" t="s">
        <v>167</v>
      </c>
      <c r="D116" s="131" t="s">
        <v>59</v>
      </c>
      <c r="E116" s="135">
        <v>656127.82999999996</v>
      </c>
      <c r="F116" s="136">
        <v>0</v>
      </c>
      <c r="G116" s="192"/>
      <c r="H116" s="192"/>
    </row>
    <row r="117" spans="2:8">
      <c r="B117" s="133"/>
      <c r="C117" s="144" t="s">
        <v>169</v>
      </c>
      <c r="D117" s="131" t="s">
        <v>59</v>
      </c>
      <c r="E117" s="135">
        <v>1681810.25</v>
      </c>
      <c r="F117" s="136">
        <v>414084.01</v>
      </c>
      <c r="G117" s="192"/>
      <c r="H117" s="192"/>
    </row>
    <row r="118" spans="2:8">
      <c r="B118" s="133"/>
      <c r="C118" s="144" t="s">
        <v>170</v>
      </c>
      <c r="D118" s="131" t="s">
        <v>59</v>
      </c>
      <c r="E118" s="135">
        <v>0</v>
      </c>
      <c r="F118" s="136">
        <v>0</v>
      </c>
      <c r="G118" s="192"/>
      <c r="H118" s="192"/>
    </row>
    <row r="119" spans="2:8">
      <c r="B119" s="133"/>
      <c r="C119" s="144" t="s">
        <v>171</v>
      </c>
      <c r="D119" s="131" t="s">
        <v>59</v>
      </c>
      <c r="E119" s="135">
        <v>0</v>
      </c>
      <c r="F119" s="136">
        <v>0</v>
      </c>
      <c r="G119" s="192"/>
      <c r="H119" s="192"/>
    </row>
    <row r="120" spans="2:8">
      <c r="B120" s="133"/>
      <c r="C120" s="144" t="s">
        <v>172</v>
      </c>
      <c r="D120" s="131" t="s">
        <v>59</v>
      </c>
      <c r="E120" s="135">
        <v>875245</v>
      </c>
      <c r="F120" s="136">
        <v>1582089</v>
      </c>
      <c r="G120" s="192"/>
      <c r="H120" s="192"/>
    </row>
    <row r="121" spans="2:8">
      <c r="B121" s="133"/>
      <c r="C121" s="144" t="s">
        <v>173</v>
      </c>
      <c r="D121" s="131" t="s">
        <v>59</v>
      </c>
      <c r="E121" s="135">
        <v>0</v>
      </c>
      <c r="F121" s="136">
        <v>0</v>
      </c>
      <c r="G121" s="192"/>
      <c r="H121" s="192"/>
    </row>
    <row r="122" spans="2:8">
      <c r="B122" s="133"/>
      <c r="C122" s="144" t="s">
        <v>174</v>
      </c>
      <c r="D122" s="131" t="s">
        <v>59</v>
      </c>
      <c r="E122" s="135">
        <f>37130.15+45570.8</f>
        <v>82700.950000000012</v>
      </c>
      <c r="F122" s="136">
        <f>81249.96+2935.43</f>
        <v>84185.39</v>
      </c>
      <c r="G122" s="192"/>
      <c r="H122" s="192"/>
    </row>
    <row r="123" spans="2:8">
      <c r="B123" s="133" t="s">
        <v>139</v>
      </c>
      <c r="C123" s="144" t="s">
        <v>175</v>
      </c>
      <c r="D123" s="131" t="s">
        <v>59</v>
      </c>
      <c r="E123" s="135">
        <v>63522.41</v>
      </c>
      <c r="F123" s="136">
        <v>72538.91</v>
      </c>
      <c r="G123" s="192"/>
      <c r="H123" s="192"/>
    </row>
    <row r="124" spans="2:8">
      <c r="B124" s="133" t="s">
        <v>67</v>
      </c>
      <c r="C124" s="144" t="s">
        <v>176</v>
      </c>
      <c r="D124" s="131" t="s">
        <v>59</v>
      </c>
      <c r="E124" s="135">
        <v>2100.13</v>
      </c>
      <c r="F124" s="136">
        <v>0</v>
      </c>
      <c r="G124" s="192"/>
      <c r="H124" s="192"/>
    </row>
    <row r="125" spans="2:8">
      <c r="B125" s="129"/>
      <c r="C125" s="129" t="s">
        <v>177</v>
      </c>
      <c r="D125" s="131" t="s">
        <v>59</v>
      </c>
      <c r="E125" s="143">
        <f>E97+E107</f>
        <v>15289559.32</v>
      </c>
      <c r="F125" s="143">
        <f>F97+F107</f>
        <v>15107436.99</v>
      </c>
      <c r="G125" s="192"/>
      <c r="H125" s="192"/>
    </row>
    <row r="126" spans="2:8">
      <c r="C126" s="191"/>
      <c r="D126" s="194"/>
      <c r="E126" s="172"/>
      <c r="F126" s="192"/>
      <c r="G126" s="192"/>
      <c r="H126" s="192"/>
    </row>
    <row r="127" spans="2:8">
      <c r="C127" s="191"/>
      <c r="D127" s="194"/>
      <c r="E127" s="172"/>
      <c r="F127" s="192"/>
      <c r="G127" s="192"/>
      <c r="H127" s="192"/>
    </row>
    <row r="128" spans="2:8">
      <c r="B128" s="145"/>
      <c r="C128" s="146" t="s">
        <v>178</v>
      </c>
      <c r="D128" s="145"/>
      <c r="E128" s="145"/>
      <c r="F128" s="145"/>
      <c r="G128" s="145"/>
      <c r="H128" s="192"/>
    </row>
    <row r="129" spans="2:8">
      <c r="B129" s="145"/>
      <c r="C129" s="146"/>
      <c r="D129" s="145"/>
      <c r="E129" s="145"/>
      <c r="F129" s="145"/>
      <c r="G129" s="145"/>
      <c r="H129" s="192"/>
    </row>
    <row r="130" spans="2:8">
      <c r="B130" s="145"/>
      <c r="C130" s="146" t="s">
        <v>237</v>
      </c>
      <c r="D130" s="145"/>
      <c r="E130" s="145"/>
      <c r="F130" s="145"/>
      <c r="G130" s="145"/>
      <c r="H130" s="173"/>
    </row>
    <row r="131" spans="2:8">
      <c r="B131" s="147" t="s">
        <v>179</v>
      </c>
      <c r="C131" s="147" t="s">
        <v>55</v>
      </c>
      <c r="D131" s="438"/>
      <c r="E131" s="110">
        <v>2012</v>
      </c>
      <c r="F131" s="112">
        <v>2013</v>
      </c>
      <c r="G131" s="113"/>
      <c r="H131" s="173"/>
    </row>
    <row r="132" spans="2:8">
      <c r="B132" s="148" t="s">
        <v>61</v>
      </c>
      <c r="C132" s="149" t="s">
        <v>180</v>
      </c>
      <c r="D132" s="439"/>
      <c r="E132" s="150"/>
      <c r="F132" s="150"/>
      <c r="G132" s="150"/>
      <c r="H132" s="173"/>
    </row>
    <row r="133" spans="2:8">
      <c r="B133" s="151" t="s">
        <v>130</v>
      </c>
      <c r="C133" s="152" t="s">
        <v>181</v>
      </c>
      <c r="D133" s="439"/>
      <c r="E133" s="153">
        <f>E68/E21</f>
        <v>6.2158205208209874E-2</v>
      </c>
      <c r="F133" s="153">
        <f>F68/F21</f>
        <v>4.847697760970978E-2</v>
      </c>
      <c r="G133" s="153"/>
      <c r="H133" s="173"/>
    </row>
    <row r="134" spans="2:8">
      <c r="B134" s="151" t="s">
        <v>137</v>
      </c>
      <c r="C134" s="154" t="s">
        <v>182</v>
      </c>
      <c r="D134" s="439"/>
      <c r="E134" s="153">
        <f>E68/E97</f>
        <v>7.3365950948479877E-2</v>
      </c>
      <c r="F134" s="153">
        <f>F68/F97</f>
        <v>5.7444224651380119E-2</v>
      </c>
      <c r="G134" s="153"/>
      <c r="H134" s="163"/>
    </row>
    <row r="135" spans="2:8">
      <c r="B135" s="151" t="s">
        <v>139</v>
      </c>
      <c r="C135" s="154" t="s">
        <v>183</v>
      </c>
      <c r="D135" s="439"/>
      <c r="E135" s="153">
        <f>E68/E93</f>
        <v>5.2338165100235222E-2</v>
      </c>
      <c r="F135" s="153">
        <f>F68/F93</f>
        <v>4.2791259723797818E-2</v>
      </c>
      <c r="G135" s="153"/>
      <c r="H135" s="195"/>
    </row>
    <row r="136" spans="2:8">
      <c r="B136" s="148" t="s">
        <v>63</v>
      </c>
      <c r="C136" s="149" t="s">
        <v>184</v>
      </c>
      <c r="D136" s="439"/>
      <c r="E136" s="155"/>
      <c r="F136" s="155"/>
      <c r="G136" s="155"/>
      <c r="H136" s="195"/>
    </row>
    <row r="137" spans="2:8">
      <c r="B137" s="151" t="s">
        <v>130</v>
      </c>
      <c r="C137" s="154" t="s">
        <v>185</v>
      </c>
      <c r="D137" s="439"/>
      <c r="E137" s="155">
        <f>E88/E113</f>
        <v>1.6238276604601616</v>
      </c>
      <c r="F137" s="155">
        <f>F88/F113</f>
        <v>2.1715820156791406</v>
      </c>
      <c r="G137" s="155"/>
      <c r="H137" s="195"/>
    </row>
    <row r="138" spans="2:8">
      <c r="B138" s="151" t="s">
        <v>137</v>
      </c>
      <c r="C138" s="154" t="s">
        <v>186</v>
      </c>
      <c r="D138" s="439"/>
      <c r="E138" s="155">
        <f>(E88-E89)/E113</f>
        <v>0.77607165032403769</v>
      </c>
      <c r="F138" s="155">
        <f>(F88-F89)/F113</f>
        <v>1.4823317327662042</v>
      </c>
      <c r="G138" s="155"/>
      <c r="H138" s="195"/>
    </row>
    <row r="139" spans="2:8">
      <c r="B139" s="148" t="s">
        <v>65</v>
      </c>
      <c r="C139" s="149" t="s">
        <v>187</v>
      </c>
      <c r="D139" s="439"/>
      <c r="E139" s="155"/>
      <c r="F139" s="155"/>
      <c r="G139" s="155"/>
      <c r="H139" s="195"/>
    </row>
    <row r="140" spans="2:8">
      <c r="B140" s="151" t="s">
        <v>130</v>
      </c>
      <c r="C140" s="156" t="s">
        <v>188</v>
      </c>
      <c r="D140" s="439"/>
      <c r="E140" s="155">
        <f>E107/E93</f>
        <v>0.28661505202885085</v>
      </c>
      <c r="F140" s="155">
        <f>F107/F93</f>
        <v>0.25508160335540808</v>
      </c>
      <c r="G140" s="155"/>
      <c r="H140" s="195"/>
    </row>
    <row r="141" spans="2:8">
      <c r="B141" s="151" t="s">
        <v>137</v>
      </c>
      <c r="C141" s="156" t="s">
        <v>189</v>
      </c>
      <c r="D141" s="439"/>
      <c r="E141" s="155">
        <f>E107/E97</f>
        <v>0.40176773121437109</v>
      </c>
      <c r="F141" s="155">
        <f>F107/F97</f>
        <v>0.34242892175088818</v>
      </c>
      <c r="G141" s="155"/>
      <c r="H141" s="195"/>
    </row>
    <row r="142" spans="2:8">
      <c r="B142" s="148" t="s">
        <v>67</v>
      </c>
      <c r="C142" s="149" t="s">
        <v>190</v>
      </c>
      <c r="D142" s="439"/>
      <c r="E142" s="155"/>
      <c r="F142" s="155"/>
      <c r="G142" s="155"/>
      <c r="H142" s="195"/>
    </row>
    <row r="143" spans="2:8">
      <c r="B143" s="151" t="s">
        <v>130</v>
      </c>
      <c r="C143" s="156" t="s">
        <v>191</v>
      </c>
      <c r="D143" s="439"/>
      <c r="E143" s="155">
        <f>E89/E88</f>
        <v>0.52207265018252369</v>
      </c>
      <c r="F143" s="155">
        <f>F89/F88</f>
        <v>0.31739546465961144</v>
      </c>
      <c r="G143" s="155"/>
      <c r="H143" s="195"/>
    </row>
    <row r="144" spans="2:8">
      <c r="B144" s="151" t="s">
        <v>137</v>
      </c>
      <c r="C144" s="156" t="s">
        <v>192</v>
      </c>
      <c r="D144" s="439"/>
      <c r="E144" s="155">
        <f>E90/E88</f>
        <v>0.47149658619275536</v>
      </c>
      <c r="F144" s="155">
        <f>F90/F88</f>
        <v>0.44034567445073308</v>
      </c>
      <c r="G144" s="155"/>
      <c r="H144" s="195"/>
    </row>
    <row r="145" spans="2:23">
      <c r="B145" s="151" t="s">
        <v>139</v>
      </c>
      <c r="C145" s="156" t="s">
        <v>193</v>
      </c>
      <c r="D145" s="439"/>
      <c r="E145" s="155">
        <f>E91/E88</f>
        <v>1.0264601889487905E-3</v>
      </c>
      <c r="F145" s="155">
        <f>F91/F88</f>
        <v>0.22885733309649747</v>
      </c>
      <c r="G145" s="155"/>
      <c r="H145" s="195"/>
    </row>
    <row r="146" spans="2:23">
      <c r="B146" s="157" t="s">
        <v>77</v>
      </c>
      <c r="C146" s="158" t="s">
        <v>194</v>
      </c>
      <c r="D146" s="159"/>
      <c r="E146" s="155"/>
      <c r="F146" s="155"/>
      <c r="G146" s="155"/>
      <c r="H146" s="195"/>
    </row>
    <row r="147" spans="2:23">
      <c r="B147" s="151" t="s">
        <v>130</v>
      </c>
      <c r="C147" s="156" t="s">
        <v>195</v>
      </c>
      <c r="D147" s="159"/>
      <c r="E147" s="160">
        <f>E89/(E21/365)</f>
        <v>80.744192770045316</v>
      </c>
      <c r="F147" s="160">
        <f>F89/(F21/365)</f>
        <v>40.614658352731304</v>
      </c>
      <c r="G147" s="160"/>
      <c r="H147" s="195"/>
    </row>
    <row r="148" spans="2:23">
      <c r="B148" s="151" t="s">
        <v>137</v>
      </c>
      <c r="C148" s="156" t="s">
        <v>196</v>
      </c>
      <c r="D148" s="159"/>
      <c r="E148" s="160">
        <f>E90/(E21/365)</f>
        <v>72.9220564085403</v>
      </c>
      <c r="F148" s="160">
        <f>F90/(F21/365)</f>
        <v>56.347651798048403</v>
      </c>
      <c r="G148" s="160"/>
      <c r="H148" s="195"/>
    </row>
    <row r="149" spans="2:23">
      <c r="B149" s="151" t="s">
        <v>139</v>
      </c>
      <c r="C149" s="156" t="s">
        <v>197</v>
      </c>
      <c r="D149" s="159"/>
      <c r="E149" s="160">
        <f>E117/(E21/365)</f>
        <v>47.682044015635803</v>
      </c>
      <c r="F149" s="160">
        <f>F117/(F21/365)</f>
        <v>11.333681308716287</v>
      </c>
      <c r="G149" s="160"/>
      <c r="H149" s="195"/>
    </row>
    <row r="150" spans="2:23">
      <c r="C150" s="108"/>
      <c r="D150" s="196"/>
      <c r="E150" s="172"/>
      <c r="F150" s="195"/>
      <c r="G150" s="195"/>
      <c r="H150" s="195"/>
    </row>
    <row r="151" spans="2:23">
      <c r="C151" s="108"/>
      <c r="D151" s="196"/>
      <c r="E151" s="172"/>
      <c r="F151" s="195"/>
      <c r="G151" s="195"/>
      <c r="H151" s="195"/>
    </row>
    <row r="152" spans="2:23">
      <c r="C152" s="149" t="s">
        <v>200</v>
      </c>
      <c r="D152" s="37"/>
      <c r="E152" s="113">
        <v>2012</v>
      </c>
      <c r="F152" s="113">
        <v>2013</v>
      </c>
      <c r="G152" s="37">
        <v>2014</v>
      </c>
      <c r="H152" s="164">
        <v>2015</v>
      </c>
      <c r="I152" s="164">
        <v>2016</v>
      </c>
      <c r="J152" s="164">
        <v>2017</v>
      </c>
      <c r="K152" s="164">
        <v>2018</v>
      </c>
      <c r="L152" s="164">
        <v>2019</v>
      </c>
      <c r="M152" s="164">
        <v>2020</v>
      </c>
      <c r="N152" s="164">
        <v>2021</v>
      </c>
      <c r="O152" s="164">
        <v>2022</v>
      </c>
      <c r="P152" s="164">
        <v>2023</v>
      </c>
      <c r="Q152" s="164">
        <v>2024</v>
      </c>
      <c r="R152" s="164">
        <v>2025</v>
      </c>
      <c r="S152" s="164">
        <v>2026</v>
      </c>
      <c r="T152" s="164">
        <v>2027</v>
      </c>
      <c r="U152" s="164">
        <v>2028</v>
      </c>
      <c r="V152" s="164">
        <v>2029</v>
      </c>
      <c r="W152" s="164">
        <v>2030</v>
      </c>
    </row>
    <row r="153" spans="2:23">
      <c r="C153" s="162" t="s">
        <v>206</v>
      </c>
      <c r="D153" s="37" t="s">
        <v>201</v>
      </c>
      <c r="E153" s="37"/>
      <c r="F153" s="37"/>
      <c r="G153" s="37"/>
      <c r="H153" s="37"/>
      <c r="I153" s="12">
        <v>4878.05</v>
      </c>
      <c r="J153" s="12">
        <v>4878.05</v>
      </c>
      <c r="K153" s="12">
        <v>4878.05</v>
      </c>
      <c r="L153" s="12">
        <v>4878.05</v>
      </c>
      <c r="M153" s="12">
        <v>4878.05</v>
      </c>
      <c r="N153" s="12">
        <v>4878.05</v>
      </c>
      <c r="O153" s="12">
        <v>4878.05</v>
      </c>
      <c r="P153" s="12">
        <v>4878.05</v>
      </c>
      <c r="Q153" s="12">
        <v>4878.05</v>
      </c>
      <c r="R153" s="12">
        <v>4878.05</v>
      </c>
      <c r="S153" s="12">
        <v>4878.05</v>
      </c>
      <c r="T153" s="12">
        <v>4878.05</v>
      </c>
      <c r="U153" s="12">
        <v>4878.05</v>
      </c>
      <c r="V153" s="12">
        <v>4878.05</v>
      </c>
      <c r="W153" s="12">
        <v>4878.05</v>
      </c>
    </row>
    <row r="154" spans="2:23">
      <c r="C154" s="162" t="s">
        <v>202</v>
      </c>
      <c r="D154" s="37"/>
      <c r="E154" s="37"/>
      <c r="F154" s="37"/>
      <c r="G154" s="37"/>
      <c r="H154" s="37"/>
      <c r="I154" s="12">
        <v>6000</v>
      </c>
      <c r="J154" s="12">
        <v>6000</v>
      </c>
      <c r="K154" s="12">
        <v>6000</v>
      </c>
      <c r="L154" s="12">
        <v>6000</v>
      </c>
      <c r="M154" s="12">
        <v>6000</v>
      </c>
      <c r="N154" s="12">
        <v>6000</v>
      </c>
      <c r="O154" s="12">
        <v>6000</v>
      </c>
      <c r="P154" s="12">
        <v>6000</v>
      </c>
      <c r="Q154" s="12">
        <v>6000</v>
      </c>
      <c r="R154" s="12">
        <v>6000</v>
      </c>
      <c r="S154" s="12">
        <v>6000</v>
      </c>
      <c r="T154" s="12">
        <v>6000</v>
      </c>
      <c r="U154" s="12">
        <v>6000</v>
      </c>
      <c r="V154" s="12">
        <v>6000</v>
      </c>
      <c r="W154" s="12">
        <v>6000</v>
      </c>
    </row>
    <row r="155" spans="2:23">
      <c r="C155" s="108"/>
      <c r="D155" s="196"/>
      <c r="E155" s="172"/>
      <c r="F155" s="195"/>
      <c r="G155" s="195"/>
      <c r="H155" s="195"/>
    </row>
    <row r="156" spans="2:23">
      <c r="C156" s="108"/>
      <c r="D156" s="181"/>
      <c r="E156" s="172"/>
      <c r="F156" s="195"/>
      <c r="G156" s="195"/>
      <c r="H156" s="195"/>
    </row>
    <row r="157" spans="2:23">
      <c r="C157" s="108"/>
      <c r="D157" s="181"/>
      <c r="E157" s="172"/>
      <c r="F157" s="197"/>
      <c r="G157" s="197"/>
      <c r="H157" s="197"/>
    </row>
    <row r="158" spans="2:23">
      <c r="C158" s="108"/>
      <c r="D158" s="181"/>
      <c r="E158" s="172"/>
      <c r="F158" s="197"/>
      <c r="G158" s="197"/>
      <c r="H158" s="197"/>
    </row>
    <row r="159" spans="2:23">
      <c r="C159" s="108"/>
      <c r="D159" s="181"/>
      <c r="E159" s="172"/>
      <c r="F159" s="108"/>
      <c r="G159" s="108"/>
      <c r="H159" s="108"/>
    </row>
    <row r="160" spans="2:23">
      <c r="C160" s="108"/>
      <c r="D160" s="181"/>
      <c r="E160" s="172"/>
      <c r="F160" s="108"/>
      <c r="G160" s="108"/>
      <c r="H160" s="108"/>
    </row>
    <row r="161" spans="3:8">
      <c r="C161" s="198"/>
      <c r="D161" s="199"/>
      <c r="E161" s="198"/>
      <c r="F161" s="198"/>
      <c r="G161" s="198"/>
      <c r="H161" s="198"/>
    </row>
    <row r="162" spans="3:8">
      <c r="C162" s="198"/>
      <c r="D162" s="199"/>
      <c r="E162" s="198"/>
      <c r="F162" s="198"/>
      <c r="G162" s="198"/>
      <c r="H162" s="198"/>
    </row>
    <row r="163" spans="3:8">
      <c r="C163" s="198"/>
      <c r="D163" s="199"/>
      <c r="E163" s="198"/>
      <c r="F163" s="198"/>
      <c r="G163" s="198"/>
      <c r="H163" s="198"/>
    </row>
    <row r="164" spans="3:8">
      <c r="C164" s="200"/>
      <c r="D164" s="200"/>
      <c r="E164" s="446"/>
      <c r="F164" s="163"/>
      <c r="G164" s="163"/>
      <c r="H164" s="163"/>
    </row>
    <row r="165" spans="3:8">
      <c r="C165" s="159"/>
      <c r="D165" s="199"/>
      <c r="E165" s="446"/>
      <c r="F165" s="198"/>
      <c r="G165" s="198"/>
      <c r="H165" s="198"/>
    </row>
    <row r="166" spans="3:8">
      <c r="C166" s="202"/>
      <c r="D166" s="203"/>
      <c r="E166" s="446"/>
      <c r="F166" s="204"/>
      <c r="G166" s="204"/>
      <c r="H166" s="204"/>
    </row>
    <row r="167" spans="3:8">
      <c r="C167" s="202"/>
      <c r="D167" s="205"/>
      <c r="E167" s="446"/>
      <c r="F167" s="204"/>
      <c r="G167" s="204"/>
      <c r="H167" s="204"/>
    </row>
    <row r="168" spans="3:8">
      <c r="C168" s="202"/>
      <c r="D168" s="205"/>
      <c r="E168" s="446"/>
      <c r="F168" s="204"/>
      <c r="G168" s="204"/>
      <c r="H168" s="204"/>
    </row>
    <row r="169" spans="3:8">
      <c r="C169" s="159"/>
      <c r="D169" s="199"/>
      <c r="E169" s="446"/>
      <c r="F169" s="206"/>
      <c r="G169" s="206"/>
      <c r="H169" s="206"/>
    </row>
    <row r="170" spans="3:8">
      <c r="C170" s="202"/>
      <c r="D170" s="205"/>
      <c r="E170" s="446"/>
      <c r="F170" s="206"/>
      <c r="G170" s="206"/>
      <c r="H170" s="206"/>
    </row>
    <row r="171" spans="3:8">
      <c r="C171" s="202"/>
      <c r="D171" s="205"/>
      <c r="E171" s="446"/>
      <c r="F171" s="206"/>
      <c r="G171" s="206"/>
      <c r="H171" s="206"/>
    </row>
    <row r="172" spans="3:8">
      <c r="C172" s="159"/>
      <c r="D172" s="199"/>
      <c r="E172" s="446"/>
      <c r="F172" s="206"/>
      <c r="G172" s="206"/>
      <c r="H172" s="206"/>
    </row>
    <row r="173" spans="3:8">
      <c r="C173" s="202"/>
      <c r="D173" s="207"/>
      <c r="E173" s="446"/>
      <c r="F173" s="206"/>
      <c r="G173" s="206"/>
      <c r="H173" s="206"/>
    </row>
    <row r="174" spans="3:8">
      <c r="C174" s="202"/>
      <c r="D174" s="207"/>
      <c r="E174" s="446"/>
      <c r="F174" s="206"/>
      <c r="G174" s="206"/>
      <c r="H174" s="206"/>
    </row>
    <row r="175" spans="3:8">
      <c r="C175" s="159"/>
      <c r="D175" s="199"/>
      <c r="E175" s="446"/>
      <c r="F175" s="206"/>
      <c r="G175" s="206"/>
      <c r="H175" s="206"/>
    </row>
    <row r="176" spans="3:8">
      <c r="C176" s="202"/>
      <c r="D176" s="207"/>
      <c r="E176" s="446"/>
      <c r="F176" s="206"/>
      <c r="G176" s="206"/>
      <c r="H176" s="206"/>
    </row>
    <row r="177" spans="3:8">
      <c r="C177" s="202"/>
      <c r="D177" s="207"/>
      <c r="E177" s="446"/>
      <c r="F177" s="206"/>
      <c r="G177" s="206"/>
      <c r="H177" s="206"/>
    </row>
    <row r="178" spans="3:8">
      <c r="C178" s="202"/>
      <c r="D178" s="207"/>
      <c r="E178" s="446"/>
      <c r="F178" s="206"/>
      <c r="G178" s="206"/>
      <c r="H178" s="206"/>
    </row>
    <row r="179" spans="3:8">
      <c r="C179" s="200"/>
      <c r="D179" s="208"/>
      <c r="E179" s="159"/>
      <c r="F179" s="206"/>
      <c r="G179" s="206"/>
      <c r="H179" s="206"/>
    </row>
    <row r="180" spans="3:8">
      <c r="C180" s="202"/>
      <c r="D180" s="207"/>
      <c r="E180" s="159"/>
      <c r="F180" s="209"/>
      <c r="G180" s="209"/>
      <c r="H180" s="209"/>
    </row>
    <row r="181" spans="3:8">
      <c r="C181" s="202"/>
      <c r="D181" s="207"/>
      <c r="E181" s="159"/>
      <c r="F181" s="209"/>
      <c r="G181" s="209"/>
      <c r="H181" s="209"/>
    </row>
    <row r="182" spans="3:8">
      <c r="C182" s="202"/>
      <c r="D182" s="207"/>
      <c r="E182" s="159"/>
      <c r="F182" s="209"/>
      <c r="G182" s="209"/>
      <c r="H182" s="209"/>
    </row>
  </sheetData>
  <mergeCells count="8">
    <mergeCell ref="M4:N4"/>
    <mergeCell ref="E164:E178"/>
    <mergeCell ref="D131:D145"/>
    <mergeCell ref="G19:W19"/>
    <mergeCell ref="E19:F19"/>
    <mergeCell ref="D4:F4"/>
    <mergeCell ref="G4:I4"/>
    <mergeCell ref="J4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154"/>
  <sheetViews>
    <sheetView zoomScale="80" zoomScaleNormal="80" workbookViewId="0">
      <selection activeCell="Q13" sqref="Q13"/>
    </sheetView>
  </sheetViews>
  <sheetFormatPr defaultRowHeight="15"/>
  <cols>
    <col min="3" max="3" width="47" customWidth="1"/>
    <col min="4" max="4" width="11.7109375" bestFit="1" customWidth="1"/>
    <col min="5" max="5" width="16.85546875" customWidth="1"/>
    <col min="6" max="6" width="18" customWidth="1"/>
    <col min="7" max="7" width="17.42578125" customWidth="1"/>
    <col min="8" max="8" width="16.42578125" customWidth="1"/>
    <col min="9" max="9" width="15.7109375" bestFit="1" customWidth="1"/>
    <col min="10" max="10" width="18.28515625" customWidth="1"/>
    <col min="11" max="11" width="16.85546875" customWidth="1"/>
    <col min="12" max="12" width="15.7109375" bestFit="1" customWidth="1"/>
    <col min="13" max="13" width="15.85546875" bestFit="1" customWidth="1"/>
    <col min="14" max="14" width="17.28515625" customWidth="1"/>
    <col min="15" max="15" width="15.85546875" bestFit="1" customWidth="1"/>
    <col min="16" max="16" width="15.85546875" customWidth="1"/>
    <col min="17" max="17" width="17.140625" customWidth="1"/>
    <col min="18" max="18" width="15.7109375" customWidth="1"/>
    <col min="19" max="20" width="18.140625" customWidth="1"/>
    <col min="21" max="21" width="17.140625" customWidth="1"/>
    <col min="22" max="22" width="16" customWidth="1"/>
    <col min="23" max="23" width="17.140625" customWidth="1"/>
  </cols>
  <sheetData>
    <row r="2" spans="3:16">
      <c r="C2" s="221" t="s">
        <v>238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3:16"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3:16">
      <c r="C4" s="221" t="s">
        <v>239</v>
      </c>
      <c r="D4" s="95"/>
      <c r="E4" s="95"/>
      <c r="F4" s="95"/>
      <c r="G4" s="95"/>
      <c r="H4" s="95"/>
      <c r="I4" s="95"/>
      <c r="J4" s="95"/>
      <c r="K4" s="95"/>
      <c r="L4" s="95"/>
      <c r="M4" s="103"/>
      <c r="N4" s="103"/>
      <c r="O4" s="95"/>
    </row>
    <row r="5" spans="3:16" ht="24.75">
      <c r="C5" s="11"/>
      <c r="D5" s="444">
        <v>2014</v>
      </c>
      <c r="E5" s="444"/>
      <c r="F5" s="444"/>
      <c r="G5" s="444">
        <v>2015</v>
      </c>
      <c r="H5" s="444"/>
      <c r="I5" s="444"/>
      <c r="J5" s="444" t="s">
        <v>7</v>
      </c>
      <c r="K5" s="444"/>
      <c r="L5" s="444"/>
      <c r="M5" s="445" t="s">
        <v>52</v>
      </c>
      <c r="N5" s="445"/>
      <c r="O5" s="107" t="s">
        <v>53</v>
      </c>
    </row>
    <row r="6" spans="3:16" ht="36.75">
      <c r="C6" s="11"/>
      <c r="D6" s="104" t="s">
        <v>6</v>
      </c>
      <c r="E6" s="104" t="s">
        <v>47</v>
      </c>
      <c r="F6" s="104" t="s">
        <v>48</v>
      </c>
      <c r="G6" s="104" t="s">
        <v>6</v>
      </c>
      <c r="H6" s="104" t="s">
        <v>47</v>
      </c>
      <c r="I6" s="104" t="s">
        <v>48</v>
      </c>
      <c r="J6" s="107" t="s">
        <v>314</v>
      </c>
      <c r="K6" s="104" t="s">
        <v>47</v>
      </c>
      <c r="L6" s="104" t="s">
        <v>48</v>
      </c>
      <c r="M6" s="107" t="s">
        <v>50</v>
      </c>
      <c r="N6" s="107" t="s">
        <v>362</v>
      </c>
      <c r="O6" s="107" t="s">
        <v>363</v>
      </c>
    </row>
    <row r="7" spans="3:16" ht="24">
      <c r="C7" s="272" t="s">
        <v>312</v>
      </c>
      <c r="D7" s="10">
        <v>4800</v>
      </c>
      <c r="E7" s="98">
        <f t="shared" ref="E7:E8" si="0">D7*0.23</f>
        <v>1104</v>
      </c>
      <c r="F7" s="98">
        <f t="shared" ref="F7:F8" si="1">D7+E7</f>
        <v>5904</v>
      </c>
      <c r="G7" s="10"/>
      <c r="H7" s="10"/>
      <c r="I7" s="10"/>
      <c r="J7" s="368">
        <f>D7</f>
        <v>4800</v>
      </c>
      <c r="K7" s="368">
        <f t="shared" ref="K7:L8" si="2">E7</f>
        <v>1104</v>
      </c>
      <c r="L7" s="368">
        <f t="shared" si="2"/>
        <v>5904</v>
      </c>
      <c r="M7" s="368">
        <f>J7*0.85</f>
        <v>4080</v>
      </c>
      <c r="N7" s="368">
        <f>J7-M7</f>
        <v>720</v>
      </c>
      <c r="O7" s="368">
        <f>K7</f>
        <v>1104</v>
      </c>
    </row>
    <row r="8" spans="3:16" ht="24">
      <c r="C8" s="272" t="s">
        <v>281</v>
      </c>
      <c r="D8" s="10">
        <v>800</v>
      </c>
      <c r="E8" s="98">
        <f t="shared" si="0"/>
        <v>184</v>
      </c>
      <c r="F8" s="98">
        <f t="shared" si="1"/>
        <v>984</v>
      </c>
      <c r="G8" s="10"/>
      <c r="H8" s="10"/>
      <c r="I8" s="10"/>
      <c r="J8" s="368">
        <f>D8</f>
        <v>800</v>
      </c>
      <c r="K8" s="368">
        <f t="shared" si="2"/>
        <v>184</v>
      </c>
      <c r="L8" s="368">
        <f t="shared" si="2"/>
        <v>984</v>
      </c>
      <c r="M8" s="368">
        <v>0</v>
      </c>
      <c r="N8" s="368">
        <f>J8-M8</f>
        <v>800</v>
      </c>
      <c r="O8" s="368">
        <f>K8</f>
        <v>184</v>
      </c>
    </row>
    <row r="9" spans="3:16">
      <c r="C9" s="100" t="s">
        <v>273</v>
      </c>
      <c r="D9" s="98">
        <v>800</v>
      </c>
      <c r="E9" s="98">
        <f>D9*0.23</f>
        <v>184</v>
      </c>
      <c r="F9" s="98">
        <f>D9+E9</f>
        <v>984</v>
      </c>
      <c r="G9" s="12">
        <v>0</v>
      </c>
      <c r="H9" s="12">
        <v>0</v>
      </c>
      <c r="I9" s="12">
        <v>0</v>
      </c>
      <c r="J9" s="80">
        <f>D9+G9</f>
        <v>800</v>
      </c>
      <c r="K9" s="80">
        <f>E9+H9</f>
        <v>184</v>
      </c>
      <c r="L9" s="80">
        <f>F9+I9</f>
        <v>984</v>
      </c>
      <c r="M9" s="80">
        <f>J9*0.85</f>
        <v>680</v>
      </c>
      <c r="N9" s="80">
        <f>J9*0.15</f>
        <v>120</v>
      </c>
      <c r="O9" s="80">
        <f>K9</f>
        <v>184</v>
      </c>
    </row>
    <row r="10" spans="3:16">
      <c r="C10" s="264" t="s">
        <v>306</v>
      </c>
      <c r="D10" s="12"/>
      <c r="E10" s="12"/>
      <c r="F10" s="12"/>
      <c r="G10" s="12">
        <f>'zadania i plan płatności'!B30*'zadania i plan płatności'!C54</f>
        <v>4925.3969311653627</v>
      </c>
      <c r="H10" s="12">
        <f>G10*0.23</f>
        <v>1132.8412941680335</v>
      </c>
      <c r="I10" s="12">
        <f>G10+H10</f>
        <v>6058.2382253333963</v>
      </c>
      <c r="J10" s="80">
        <f t="shared" ref="J10:L14" si="3">D10+G10</f>
        <v>4925.3969311653627</v>
      </c>
      <c r="K10" s="80">
        <f t="shared" si="3"/>
        <v>1132.8412941680335</v>
      </c>
      <c r="L10" s="80">
        <f t="shared" si="3"/>
        <v>6058.2382253333963</v>
      </c>
      <c r="M10" s="80">
        <f t="shared" ref="M10:M14" si="4">J10*0.85</f>
        <v>4186.5873914905578</v>
      </c>
      <c r="N10" s="80">
        <f t="shared" ref="N10:N14" si="5">J10*0.15</f>
        <v>738.80953967480434</v>
      </c>
      <c r="O10" s="80">
        <f t="shared" ref="O10:O14" si="6">K10</f>
        <v>1132.8412941680335</v>
      </c>
    </row>
    <row r="11" spans="3:16">
      <c r="C11" s="100" t="s">
        <v>331</v>
      </c>
      <c r="D11" s="12">
        <v>0</v>
      </c>
      <c r="E11" s="12">
        <v>0</v>
      </c>
      <c r="F11" s="12">
        <v>0</v>
      </c>
      <c r="G11" s="12">
        <f>'zadania i plan płatności'!B33*'zadania i plan płatności'!C54</f>
        <v>14776.190793496089</v>
      </c>
      <c r="H11" s="12">
        <f>G11*0.23</f>
        <v>3398.5238825041006</v>
      </c>
      <c r="I11" s="12">
        <f>G11+H11</f>
        <v>18174.714676000189</v>
      </c>
      <c r="J11" s="80">
        <f t="shared" si="3"/>
        <v>14776.190793496089</v>
      </c>
      <c r="K11" s="80">
        <f t="shared" si="3"/>
        <v>3398.5238825041006</v>
      </c>
      <c r="L11" s="80">
        <f t="shared" si="3"/>
        <v>18174.714676000189</v>
      </c>
      <c r="M11" s="80">
        <f t="shared" si="4"/>
        <v>12559.762174471676</v>
      </c>
      <c r="N11" s="80">
        <f t="shared" si="5"/>
        <v>2216.4286190244134</v>
      </c>
      <c r="O11" s="80">
        <f t="shared" si="6"/>
        <v>3398.5238825041006</v>
      </c>
    </row>
    <row r="12" spans="3:16" ht="24.75">
      <c r="C12" s="13" t="s">
        <v>274</v>
      </c>
      <c r="D12" s="12"/>
      <c r="E12" s="12"/>
      <c r="F12" s="12"/>
      <c r="G12" s="12">
        <f>'zadania i plan płatności'!B39</f>
        <v>368165.67</v>
      </c>
      <c r="H12" s="12">
        <f t="shared" ref="H12:H14" si="7">G12*0.23</f>
        <v>84678.104099999997</v>
      </c>
      <c r="I12" s="12">
        <f>G12+H12</f>
        <v>452843.77409999998</v>
      </c>
      <c r="J12" s="80">
        <f t="shared" si="3"/>
        <v>368165.67</v>
      </c>
      <c r="K12" s="80">
        <f t="shared" si="3"/>
        <v>84678.104099999997</v>
      </c>
      <c r="L12" s="80">
        <f t="shared" si="3"/>
        <v>452843.77409999998</v>
      </c>
      <c r="M12" s="80">
        <f t="shared" si="4"/>
        <v>312940.81949999998</v>
      </c>
      <c r="N12" s="80">
        <f t="shared" si="5"/>
        <v>55224.850499999993</v>
      </c>
      <c r="O12" s="80">
        <f t="shared" si="6"/>
        <v>84678.104099999997</v>
      </c>
    </row>
    <row r="13" spans="3:16">
      <c r="C13" s="263" t="s">
        <v>307</v>
      </c>
      <c r="D13" s="12"/>
      <c r="E13" s="12"/>
      <c r="F13" s="12"/>
      <c r="G13" s="12">
        <f>'zadania i plan płatności'!B45*'zadania i plan płatności'!C54</f>
        <v>9850.7938623307255</v>
      </c>
      <c r="H13" s="12">
        <f t="shared" ref="H13" si="8">G13*0.23</f>
        <v>2265.6825883360671</v>
      </c>
      <c r="I13" s="12">
        <f>G13+H13</f>
        <v>12116.476450666793</v>
      </c>
      <c r="J13" s="80">
        <f t="shared" ref="J13" si="9">D13+G13</f>
        <v>9850.7938623307255</v>
      </c>
      <c r="K13" s="80">
        <f t="shared" ref="K13" si="10">E13+H13</f>
        <v>2265.6825883360671</v>
      </c>
      <c r="L13" s="80">
        <f t="shared" ref="L13" si="11">F13+I13</f>
        <v>12116.476450666793</v>
      </c>
      <c r="M13" s="80">
        <f t="shared" si="4"/>
        <v>8373.1747829811156</v>
      </c>
      <c r="N13" s="80">
        <f t="shared" si="5"/>
        <v>1477.6190793496087</v>
      </c>
      <c r="O13" s="80">
        <f t="shared" si="6"/>
        <v>2265.6825883360671</v>
      </c>
    </row>
    <row r="14" spans="3:16" ht="24">
      <c r="C14" s="101" t="s">
        <v>308</v>
      </c>
      <c r="D14" s="12"/>
      <c r="E14" s="12"/>
      <c r="F14" s="12"/>
      <c r="G14" s="12">
        <f>'zadania i plan płatności'!B42*'zadania i plan płatności'!C54</f>
        <v>985.07938623307257</v>
      </c>
      <c r="H14" s="12">
        <f t="shared" si="7"/>
        <v>226.56825883360671</v>
      </c>
      <c r="I14" s="12">
        <f>G14+H14</f>
        <v>1211.6476450666792</v>
      </c>
      <c r="J14" s="80">
        <f t="shared" si="3"/>
        <v>985.07938623307257</v>
      </c>
      <c r="K14" s="80">
        <f t="shared" si="3"/>
        <v>226.56825883360671</v>
      </c>
      <c r="L14" s="80">
        <f t="shared" si="3"/>
        <v>1211.6476450666792</v>
      </c>
      <c r="M14" s="80">
        <f t="shared" si="4"/>
        <v>837.31747829811161</v>
      </c>
      <c r="N14" s="80">
        <f t="shared" si="5"/>
        <v>147.76190793496087</v>
      </c>
      <c r="O14" s="80">
        <f t="shared" si="6"/>
        <v>226.56825883360671</v>
      </c>
    </row>
    <row r="15" spans="3:16">
      <c r="C15" s="222" t="s">
        <v>49</v>
      </c>
      <c r="D15" s="106">
        <f>SUM(D7:D14)</f>
        <v>6400</v>
      </c>
      <c r="E15" s="106">
        <f t="shared" ref="E15:O15" si="12">SUM(E7:E14)</f>
        <v>1472</v>
      </c>
      <c r="F15" s="106">
        <f t="shared" si="12"/>
        <v>7872</v>
      </c>
      <c r="G15" s="106">
        <f t="shared" si="12"/>
        <v>398703.13097322523</v>
      </c>
      <c r="H15" s="106">
        <f t="shared" si="12"/>
        <v>91701.720123841806</v>
      </c>
      <c r="I15" s="106">
        <f t="shared" si="12"/>
        <v>490404.851097067</v>
      </c>
      <c r="J15" s="106">
        <f t="shared" si="12"/>
        <v>405103.13097322523</v>
      </c>
      <c r="K15" s="106">
        <f t="shared" si="12"/>
        <v>93173.720123841806</v>
      </c>
      <c r="L15" s="106">
        <f t="shared" si="12"/>
        <v>498276.851097067</v>
      </c>
      <c r="M15" s="106">
        <f t="shared" si="12"/>
        <v>343657.6613272414</v>
      </c>
      <c r="N15" s="106">
        <f t="shared" si="12"/>
        <v>61445.46964598378</v>
      </c>
      <c r="O15" s="106">
        <f t="shared" si="12"/>
        <v>93173.720123841806</v>
      </c>
      <c r="P15" s="96"/>
    </row>
    <row r="17" spans="2:23">
      <c r="P17" s="96"/>
    </row>
    <row r="18" spans="2:23">
      <c r="B18" s="95"/>
      <c r="C18" s="223" t="s">
        <v>124</v>
      </c>
      <c r="D18" s="95"/>
      <c r="E18" s="95"/>
      <c r="F18" s="95"/>
      <c r="J18" t="s">
        <v>271</v>
      </c>
      <c r="O18" s="96"/>
    </row>
    <row r="19" spans="2:23">
      <c r="B19" s="95"/>
      <c r="C19" s="223"/>
      <c r="D19" s="95"/>
      <c r="E19" s="95"/>
      <c r="F19" s="95"/>
      <c r="J19" t="s">
        <v>205</v>
      </c>
    </row>
    <row r="20" spans="2:23">
      <c r="B20" s="11"/>
      <c r="C20" s="222" t="s">
        <v>240</v>
      </c>
      <c r="D20" s="11"/>
      <c r="E20" s="444" t="s">
        <v>204</v>
      </c>
      <c r="F20" s="444"/>
      <c r="G20" s="440" t="s">
        <v>203</v>
      </c>
      <c r="H20" s="440"/>
      <c r="I20" s="440"/>
      <c r="J20" s="440"/>
      <c r="K20" s="440"/>
      <c r="L20" s="440"/>
      <c r="M20" s="440"/>
      <c r="N20" s="440"/>
      <c r="O20" s="440"/>
      <c r="P20" s="440"/>
      <c r="Q20" s="440"/>
      <c r="R20" s="440"/>
      <c r="S20" s="440"/>
      <c r="T20" s="440"/>
      <c r="U20" s="440"/>
      <c r="V20" s="440"/>
      <c r="W20" s="440"/>
    </row>
    <row r="21" spans="2:23">
      <c r="B21" s="232" t="s">
        <v>54</v>
      </c>
      <c r="C21" s="232" t="s">
        <v>55</v>
      </c>
      <c r="D21" s="233" t="s">
        <v>56</v>
      </c>
      <c r="E21" s="224">
        <v>2012</v>
      </c>
      <c r="F21" s="11">
        <v>2013</v>
      </c>
      <c r="G21" s="37">
        <v>2014</v>
      </c>
      <c r="H21" s="164">
        <v>2015</v>
      </c>
      <c r="I21" s="164">
        <v>2016</v>
      </c>
      <c r="J21" s="164">
        <v>2017</v>
      </c>
      <c r="K21" s="164">
        <v>2018</v>
      </c>
      <c r="L21" s="164">
        <v>2019</v>
      </c>
      <c r="M21" s="164">
        <v>2020</v>
      </c>
      <c r="N21" s="164">
        <v>2021</v>
      </c>
      <c r="O21" s="164">
        <v>2022</v>
      </c>
      <c r="P21" s="164">
        <v>2023</v>
      </c>
      <c r="Q21" s="164">
        <v>2024</v>
      </c>
      <c r="R21" s="164">
        <v>2025</v>
      </c>
      <c r="S21" s="164">
        <v>2026</v>
      </c>
      <c r="T21" s="164">
        <v>2027</v>
      </c>
      <c r="U21" s="164">
        <v>2028</v>
      </c>
      <c r="V21" s="164">
        <v>2029</v>
      </c>
      <c r="W21" s="164">
        <v>2030</v>
      </c>
    </row>
    <row r="22" spans="2:23" ht="25.5" customHeight="1">
      <c r="B22" s="225" t="s">
        <v>57</v>
      </c>
      <c r="C22" s="226" t="s">
        <v>58</v>
      </c>
      <c r="D22" s="227" t="s">
        <v>59</v>
      </c>
      <c r="E22" s="166">
        <f>E24+E25+E26+E27</f>
        <v>2481403.3000000003</v>
      </c>
      <c r="F22" s="166">
        <f>F24+F25+F26+F27</f>
        <v>3143804.0700000003</v>
      </c>
      <c r="G22" s="166">
        <f>G24+G25+G26+G27</f>
        <v>3300994.2734999997</v>
      </c>
      <c r="H22" s="166">
        <f t="shared" ref="H22:W22" si="13">H24+H25+H26+H27</f>
        <v>3466043.9871749999</v>
      </c>
      <c r="I22" s="166">
        <f t="shared" si="13"/>
        <v>3639346.18653375</v>
      </c>
      <c r="J22" s="166">
        <f t="shared" si="13"/>
        <v>3821313.4958604374</v>
      </c>
      <c r="K22" s="166">
        <f t="shared" si="13"/>
        <v>4012379.1706534592</v>
      </c>
      <c r="L22" s="166">
        <f t="shared" si="13"/>
        <v>4212998.129186132</v>
      </c>
      <c r="M22" s="166">
        <f t="shared" si="13"/>
        <v>4423648.0356454393</v>
      </c>
      <c r="N22" s="166">
        <f t="shared" si="13"/>
        <v>4644830.4374277117</v>
      </c>
      <c r="O22" s="166">
        <f t="shared" si="13"/>
        <v>4877071.9592990968</v>
      </c>
      <c r="P22" s="166">
        <f t="shared" si="13"/>
        <v>5120925.5572640514</v>
      </c>
      <c r="Q22" s="166">
        <f t="shared" si="13"/>
        <v>5376971.835127254</v>
      </c>
      <c r="R22" s="166">
        <f t="shared" si="13"/>
        <v>5645820.4268836165</v>
      </c>
      <c r="S22" s="166">
        <f t="shared" si="13"/>
        <v>5928111.4482277967</v>
      </c>
      <c r="T22" s="166">
        <f t="shared" si="13"/>
        <v>6224517.0206391867</v>
      </c>
      <c r="U22" s="166">
        <f t="shared" si="13"/>
        <v>6535742.8716711458</v>
      </c>
      <c r="V22" s="166">
        <f t="shared" si="13"/>
        <v>6862530.0152547043</v>
      </c>
      <c r="W22" s="166">
        <f t="shared" si="13"/>
        <v>7205656.5160174388</v>
      </c>
    </row>
    <row r="23" spans="2:23">
      <c r="B23" s="228"/>
      <c r="C23" s="229" t="s">
        <v>60</v>
      </c>
      <c r="D23" s="227" t="s">
        <v>59</v>
      </c>
      <c r="E23" s="167">
        <v>0</v>
      </c>
      <c r="F23" s="12">
        <v>0</v>
      </c>
      <c r="G23" s="102">
        <f>F23+F23*0.05</f>
        <v>0</v>
      </c>
      <c r="H23" s="102">
        <f t="shared" ref="H23:W37" si="14">G23+G23*0.05</f>
        <v>0</v>
      </c>
      <c r="I23" s="102">
        <f t="shared" si="14"/>
        <v>0</v>
      </c>
      <c r="J23" s="102">
        <f t="shared" si="14"/>
        <v>0</v>
      </c>
      <c r="K23" s="102">
        <f t="shared" si="14"/>
        <v>0</v>
      </c>
      <c r="L23" s="102">
        <f t="shared" si="14"/>
        <v>0</v>
      </c>
      <c r="M23" s="102">
        <f t="shared" si="14"/>
        <v>0</v>
      </c>
      <c r="N23" s="102">
        <f t="shared" si="14"/>
        <v>0</v>
      </c>
      <c r="O23" s="102">
        <f t="shared" si="14"/>
        <v>0</v>
      </c>
      <c r="P23" s="102">
        <f t="shared" si="14"/>
        <v>0</v>
      </c>
      <c r="Q23" s="102">
        <f t="shared" si="14"/>
        <v>0</v>
      </c>
      <c r="R23" s="102">
        <f t="shared" si="14"/>
        <v>0</v>
      </c>
      <c r="S23" s="102">
        <f t="shared" si="14"/>
        <v>0</v>
      </c>
      <c r="T23" s="102">
        <f t="shared" si="14"/>
        <v>0</v>
      </c>
      <c r="U23" s="102">
        <f t="shared" si="14"/>
        <v>0</v>
      </c>
      <c r="V23" s="102">
        <f t="shared" si="14"/>
        <v>0</v>
      </c>
      <c r="W23" s="102">
        <f t="shared" si="14"/>
        <v>0</v>
      </c>
    </row>
    <row r="24" spans="2:23">
      <c r="B24" s="228" t="s">
        <v>61</v>
      </c>
      <c r="C24" s="230" t="s">
        <v>62</v>
      </c>
      <c r="D24" s="227" t="s">
        <v>59</v>
      </c>
      <c r="E24" s="167">
        <v>2467133.87</v>
      </c>
      <c r="F24" s="12">
        <v>3138228.33</v>
      </c>
      <c r="G24" s="102">
        <f t="shared" ref="G24:V68" si="15">F24+F24*0.05</f>
        <v>3295139.7464999999</v>
      </c>
      <c r="H24" s="102">
        <f t="shared" si="15"/>
        <v>3459896.733825</v>
      </c>
      <c r="I24" s="102">
        <f t="shared" si="15"/>
        <v>3632891.5705162501</v>
      </c>
      <c r="J24" s="102">
        <f t="shared" si="15"/>
        <v>3814536.1490420625</v>
      </c>
      <c r="K24" s="102">
        <f t="shared" si="15"/>
        <v>4005262.9564941656</v>
      </c>
      <c r="L24" s="102">
        <f t="shared" si="15"/>
        <v>4205526.104318874</v>
      </c>
      <c r="M24" s="102">
        <f t="shared" si="15"/>
        <v>4415802.4095348176</v>
      </c>
      <c r="N24" s="102">
        <f t="shared" si="15"/>
        <v>4636592.5300115589</v>
      </c>
      <c r="O24" s="102">
        <f t="shared" si="15"/>
        <v>4868422.1565121366</v>
      </c>
      <c r="P24" s="102">
        <f t="shared" si="15"/>
        <v>5111843.2643377436</v>
      </c>
      <c r="Q24" s="102">
        <f t="shared" si="15"/>
        <v>5367435.4275546307</v>
      </c>
      <c r="R24" s="102">
        <f t="shared" si="15"/>
        <v>5635807.1989323618</v>
      </c>
      <c r="S24" s="102">
        <f t="shared" si="15"/>
        <v>5917597.5588789796</v>
      </c>
      <c r="T24" s="102">
        <f t="shared" si="15"/>
        <v>6213477.4368229285</v>
      </c>
      <c r="U24" s="102">
        <f t="shared" si="15"/>
        <v>6524151.3086640751</v>
      </c>
      <c r="V24" s="102">
        <f t="shared" si="15"/>
        <v>6850358.8740972793</v>
      </c>
      <c r="W24" s="102">
        <f t="shared" si="14"/>
        <v>7192876.8178021433</v>
      </c>
    </row>
    <row r="25" spans="2:23" ht="24.75">
      <c r="B25" s="228" t="s">
        <v>63</v>
      </c>
      <c r="C25" s="230" t="s">
        <v>64</v>
      </c>
      <c r="D25" s="227" t="s">
        <v>59</v>
      </c>
      <c r="E25" s="167">
        <v>0</v>
      </c>
      <c r="F25" s="213">
        <v>0</v>
      </c>
      <c r="G25" s="102">
        <f t="shared" si="15"/>
        <v>0</v>
      </c>
      <c r="H25" s="102">
        <f t="shared" si="14"/>
        <v>0</v>
      </c>
      <c r="I25" s="102">
        <f t="shared" si="14"/>
        <v>0</v>
      </c>
      <c r="J25" s="102">
        <f t="shared" si="14"/>
        <v>0</v>
      </c>
      <c r="K25" s="102">
        <f t="shared" si="14"/>
        <v>0</v>
      </c>
      <c r="L25" s="102">
        <f t="shared" si="14"/>
        <v>0</v>
      </c>
      <c r="M25" s="102">
        <f t="shared" si="14"/>
        <v>0</v>
      </c>
      <c r="N25" s="102">
        <f t="shared" si="14"/>
        <v>0</v>
      </c>
      <c r="O25" s="102">
        <f t="shared" si="14"/>
        <v>0</v>
      </c>
      <c r="P25" s="102">
        <f t="shared" si="14"/>
        <v>0</v>
      </c>
      <c r="Q25" s="102">
        <f t="shared" si="14"/>
        <v>0</v>
      </c>
      <c r="R25" s="102">
        <f t="shared" si="14"/>
        <v>0</v>
      </c>
      <c r="S25" s="102">
        <f t="shared" si="14"/>
        <v>0</v>
      </c>
      <c r="T25" s="102">
        <f t="shared" si="14"/>
        <v>0</v>
      </c>
      <c r="U25" s="102">
        <f t="shared" si="14"/>
        <v>0</v>
      </c>
      <c r="V25" s="102">
        <f t="shared" si="14"/>
        <v>0</v>
      </c>
      <c r="W25" s="102">
        <f t="shared" si="14"/>
        <v>0</v>
      </c>
    </row>
    <row r="26" spans="2:23" ht="24.75">
      <c r="B26" s="228" t="s">
        <v>65</v>
      </c>
      <c r="C26" s="230" t="s">
        <v>66</v>
      </c>
      <c r="D26" s="227" t="s">
        <v>59</v>
      </c>
      <c r="E26" s="167">
        <v>0</v>
      </c>
      <c r="F26" s="214">
        <v>0</v>
      </c>
      <c r="G26" s="102">
        <f t="shared" si="15"/>
        <v>0</v>
      </c>
      <c r="H26" s="102">
        <f t="shared" si="14"/>
        <v>0</v>
      </c>
      <c r="I26" s="102">
        <f t="shared" si="14"/>
        <v>0</v>
      </c>
      <c r="J26" s="102">
        <f t="shared" si="14"/>
        <v>0</v>
      </c>
      <c r="K26" s="102">
        <f t="shared" si="14"/>
        <v>0</v>
      </c>
      <c r="L26" s="102">
        <f t="shared" si="14"/>
        <v>0</v>
      </c>
      <c r="M26" s="102">
        <f t="shared" si="14"/>
        <v>0</v>
      </c>
      <c r="N26" s="102">
        <f t="shared" si="14"/>
        <v>0</v>
      </c>
      <c r="O26" s="102">
        <f t="shared" si="14"/>
        <v>0</v>
      </c>
      <c r="P26" s="102">
        <f t="shared" si="14"/>
        <v>0</v>
      </c>
      <c r="Q26" s="102">
        <f t="shared" si="14"/>
        <v>0</v>
      </c>
      <c r="R26" s="102">
        <f t="shared" si="14"/>
        <v>0</v>
      </c>
      <c r="S26" s="102">
        <f t="shared" si="14"/>
        <v>0</v>
      </c>
      <c r="T26" s="102">
        <f t="shared" si="14"/>
        <v>0</v>
      </c>
      <c r="U26" s="102">
        <f t="shared" si="14"/>
        <v>0</v>
      </c>
      <c r="V26" s="102">
        <f t="shared" si="14"/>
        <v>0</v>
      </c>
      <c r="W26" s="102">
        <f t="shared" si="14"/>
        <v>0</v>
      </c>
    </row>
    <row r="27" spans="2:23">
      <c r="B27" s="228" t="s">
        <v>67</v>
      </c>
      <c r="C27" s="230" t="s">
        <v>68</v>
      </c>
      <c r="D27" s="227" t="s">
        <v>59</v>
      </c>
      <c r="E27" s="167">
        <v>14269.43</v>
      </c>
      <c r="F27" s="183">
        <v>5575.74</v>
      </c>
      <c r="G27" s="102">
        <f t="shared" si="15"/>
        <v>5854.527</v>
      </c>
      <c r="H27" s="102">
        <f t="shared" si="14"/>
        <v>6147.25335</v>
      </c>
      <c r="I27" s="102">
        <f t="shared" si="14"/>
        <v>6454.6160175000005</v>
      </c>
      <c r="J27" s="102">
        <f t="shared" si="14"/>
        <v>6777.3468183750001</v>
      </c>
      <c r="K27" s="102">
        <f t="shared" si="14"/>
        <v>7116.2141592937505</v>
      </c>
      <c r="L27" s="102">
        <f t="shared" si="14"/>
        <v>7472.0248672584385</v>
      </c>
      <c r="M27" s="102">
        <f t="shared" si="14"/>
        <v>7845.6261106213606</v>
      </c>
      <c r="N27" s="102">
        <f t="shared" si="14"/>
        <v>8237.9074161524295</v>
      </c>
      <c r="O27" s="102">
        <f t="shared" si="14"/>
        <v>8649.8027869600519</v>
      </c>
      <c r="P27" s="102">
        <f t="shared" si="14"/>
        <v>9082.292926308055</v>
      </c>
      <c r="Q27" s="102">
        <f t="shared" si="14"/>
        <v>9536.4075726234587</v>
      </c>
      <c r="R27" s="102">
        <f t="shared" si="14"/>
        <v>10013.227951254632</v>
      </c>
      <c r="S27" s="102">
        <f t="shared" si="14"/>
        <v>10513.889348817363</v>
      </c>
      <c r="T27" s="102">
        <f t="shared" si="14"/>
        <v>11039.583816258231</v>
      </c>
      <c r="U27" s="102">
        <f t="shared" si="14"/>
        <v>11591.563007071143</v>
      </c>
      <c r="V27" s="102">
        <f t="shared" si="14"/>
        <v>12171.141157424699</v>
      </c>
      <c r="W27" s="102">
        <f t="shared" si="14"/>
        <v>12779.698215295935</v>
      </c>
    </row>
    <row r="28" spans="2:23">
      <c r="B28" s="225" t="s">
        <v>69</v>
      </c>
      <c r="C28" s="231" t="s">
        <v>70</v>
      </c>
      <c r="D28" s="227" t="s">
        <v>59</v>
      </c>
      <c r="E28" s="166">
        <f>SUM(E29:E37)-E33</f>
        <v>2452545.4900000002</v>
      </c>
      <c r="F28" s="166">
        <f>SUM(F29:F37)-F33</f>
        <v>3151467.02</v>
      </c>
      <c r="G28" s="166">
        <f>SUM(G29:G37)-G33</f>
        <v>3263597.5189999999</v>
      </c>
      <c r="H28" s="166">
        <f t="shared" ref="H28:W28" si="16">SUM(H29:H37)-H33</f>
        <v>3788709.816523225</v>
      </c>
      <c r="I28" s="166">
        <f t="shared" si="16"/>
        <v>3536908.0524461614</v>
      </c>
      <c r="J28" s="166">
        <f t="shared" si="16"/>
        <v>3674791.8898349698</v>
      </c>
      <c r="K28" s="166">
        <f t="shared" si="16"/>
        <v>3821517.997354893</v>
      </c>
      <c r="L28" s="166">
        <f t="shared" si="16"/>
        <v>3977431.0845994041</v>
      </c>
      <c r="M28" s="166">
        <f t="shared" si="16"/>
        <v>4142897.9668373023</v>
      </c>
      <c r="N28" s="166">
        <f t="shared" si="16"/>
        <v>4318308.4267866984</v>
      </c>
      <c r="O28" s="166">
        <f t="shared" si="16"/>
        <v>4504076.1316531887</v>
      </c>
      <c r="P28" s="166">
        <f t="shared" si="16"/>
        <v>4700639.6075866465</v>
      </c>
      <c r="Q28" s="166">
        <f t="shared" si="16"/>
        <v>4908463.2738492358</v>
      </c>
      <c r="R28" s="166">
        <f t="shared" si="16"/>
        <v>5128038.5391307911</v>
      </c>
      <c r="S28" s="166">
        <f t="shared" si="16"/>
        <v>5359884.9625969706</v>
      </c>
      <c r="T28" s="166">
        <f t="shared" si="16"/>
        <v>5604551.4824109776</v>
      </c>
      <c r="U28" s="166">
        <f t="shared" si="16"/>
        <v>5862617.7146314755</v>
      </c>
      <c r="V28" s="166">
        <f t="shared" si="16"/>
        <v>6134695.3255580012</v>
      </c>
      <c r="W28" s="166">
        <f t="shared" si="16"/>
        <v>6421429.4807711067</v>
      </c>
    </row>
    <row r="29" spans="2:23">
      <c r="B29" s="228" t="s">
        <v>71</v>
      </c>
      <c r="C29" s="229" t="s">
        <v>72</v>
      </c>
      <c r="D29" s="227" t="s">
        <v>59</v>
      </c>
      <c r="E29" s="167">
        <v>153954.29</v>
      </c>
      <c r="F29" s="215">
        <v>454428.52</v>
      </c>
      <c r="G29" s="102">
        <f>F29-F29*0.05</f>
        <v>431707.09400000004</v>
      </c>
      <c r="H29" s="102">
        <f t="shared" ref="H29:W29" si="17">G29-G29*0.05</f>
        <v>410121.73930000002</v>
      </c>
      <c r="I29" s="102">
        <f t="shared" si="17"/>
        <v>389615.65233499999</v>
      </c>
      <c r="J29" s="102">
        <f t="shared" si="17"/>
        <v>370134.86971825</v>
      </c>
      <c r="K29" s="102">
        <f t="shared" si="17"/>
        <v>351628.1262323375</v>
      </c>
      <c r="L29" s="102">
        <f t="shared" si="17"/>
        <v>334046.71992072061</v>
      </c>
      <c r="M29" s="102">
        <f t="shared" si="17"/>
        <v>317344.3839246846</v>
      </c>
      <c r="N29" s="102">
        <f t="shared" si="17"/>
        <v>301477.16472845036</v>
      </c>
      <c r="O29" s="102">
        <f t="shared" si="17"/>
        <v>286403.30649202783</v>
      </c>
      <c r="P29" s="102">
        <f t="shared" si="17"/>
        <v>272083.14116742642</v>
      </c>
      <c r="Q29" s="102">
        <f t="shared" si="17"/>
        <v>258478.98410905511</v>
      </c>
      <c r="R29" s="102">
        <f t="shared" si="17"/>
        <v>245555.03490360235</v>
      </c>
      <c r="S29" s="102">
        <f t="shared" si="17"/>
        <v>233277.28315842224</v>
      </c>
      <c r="T29" s="102">
        <f t="shared" si="17"/>
        <v>221613.41900050113</v>
      </c>
      <c r="U29" s="102">
        <f t="shared" si="17"/>
        <v>210532.74805047608</v>
      </c>
      <c r="V29" s="102">
        <f t="shared" si="17"/>
        <v>200006.11064795227</v>
      </c>
      <c r="W29" s="102">
        <f t="shared" si="17"/>
        <v>190005.80511555466</v>
      </c>
    </row>
    <row r="30" spans="2:23">
      <c r="B30" s="228" t="s">
        <v>63</v>
      </c>
      <c r="C30" s="229" t="s">
        <v>73</v>
      </c>
      <c r="D30" s="227" t="s">
        <v>59</v>
      </c>
      <c r="E30" s="167">
        <v>483818.4</v>
      </c>
      <c r="F30" s="215">
        <v>518124.84</v>
      </c>
      <c r="G30" s="102">
        <f t="shared" si="15"/>
        <v>544031.08200000005</v>
      </c>
      <c r="H30" s="271">
        <f>(G30+G30*0.05)+J15</f>
        <v>976335.76707322523</v>
      </c>
      <c r="I30" s="102">
        <f>(H30+H30*0.05)-J15</f>
        <v>620049.42445366131</v>
      </c>
      <c r="J30" s="102">
        <f t="shared" si="14"/>
        <v>651051.8956763444</v>
      </c>
      <c r="K30" s="102">
        <f t="shared" si="14"/>
        <v>683604.49046016159</v>
      </c>
      <c r="L30" s="102">
        <f t="shared" si="14"/>
        <v>717784.71498316969</v>
      </c>
      <c r="M30" s="102">
        <f t="shared" si="14"/>
        <v>753673.95073232823</v>
      </c>
      <c r="N30" s="102">
        <f t="shared" si="14"/>
        <v>791357.64826894458</v>
      </c>
      <c r="O30" s="102">
        <f t="shared" si="14"/>
        <v>830925.53068239184</v>
      </c>
      <c r="P30" s="102">
        <f t="shared" si="14"/>
        <v>872471.80721651146</v>
      </c>
      <c r="Q30" s="102">
        <f t="shared" si="14"/>
        <v>916095.39757733699</v>
      </c>
      <c r="R30" s="102">
        <f t="shared" si="14"/>
        <v>961900.16745620384</v>
      </c>
      <c r="S30" s="102">
        <f t="shared" si="14"/>
        <v>1009995.175829014</v>
      </c>
      <c r="T30" s="102">
        <f t="shared" si="14"/>
        <v>1060494.9346204647</v>
      </c>
      <c r="U30" s="102">
        <f t="shared" si="14"/>
        <v>1113519.681351488</v>
      </c>
      <c r="V30" s="102">
        <f t="shared" si="14"/>
        <v>1169195.6654190624</v>
      </c>
      <c r="W30" s="102">
        <f t="shared" si="14"/>
        <v>1227655.4486900156</v>
      </c>
    </row>
    <row r="31" spans="2:23">
      <c r="B31" s="228" t="s">
        <v>65</v>
      </c>
      <c r="C31" s="229" t="s">
        <v>74</v>
      </c>
      <c r="D31" s="227" t="s">
        <v>59</v>
      </c>
      <c r="E31" s="167">
        <v>198925.66</v>
      </c>
      <c r="F31" s="215">
        <v>200667.92</v>
      </c>
      <c r="G31" s="102">
        <f t="shared" si="15"/>
        <v>210701.31600000002</v>
      </c>
      <c r="H31" s="102">
        <f t="shared" si="14"/>
        <v>221236.38180000003</v>
      </c>
      <c r="I31" s="271">
        <f>(H31+H31*0.05)+I153</f>
        <v>237176.25089000002</v>
      </c>
      <c r="J31" s="271">
        <f t="shared" si="14"/>
        <v>249035.06343450001</v>
      </c>
      <c r="K31" s="271">
        <f t="shared" si="14"/>
        <v>261486.81660622501</v>
      </c>
      <c r="L31" s="271">
        <f t="shared" si="14"/>
        <v>274561.15743653628</v>
      </c>
      <c r="M31" s="271">
        <f t="shared" si="14"/>
        <v>288289.21530836308</v>
      </c>
      <c r="N31" s="271">
        <f t="shared" si="14"/>
        <v>302703.67607378121</v>
      </c>
      <c r="O31" s="271">
        <f t="shared" si="14"/>
        <v>317838.8598774703</v>
      </c>
      <c r="P31" s="271">
        <f t="shared" si="14"/>
        <v>333730.8028713438</v>
      </c>
      <c r="Q31" s="271">
        <f t="shared" si="14"/>
        <v>350417.34301491099</v>
      </c>
      <c r="R31" s="271">
        <f t="shared" si="14"/>
        <v>367938.21016565652</v>
      </c>
      <c r="S31" s="271">
        <f t="shared" si="14"/>
        <v>386335.12067393935</v>
      </c>
      <c r="T31" s="271">
        <f t="shared" si="14"/>
        <v>405651.87670763634</v>
      </c>
      <c r="U31" s="271">
        <f t="shared" si="14"/>
        <v>425934.47054301819</v>
      </c>
      <c r="V31" s="271">
        <f t="shared" si="14"/>
        <v>447231.19407016912</v>
      </c>
      <c r="W31" s="271">
        <f t="shared" si="14"/>
        <v>469592.75377367757</v>
      </c>
    </row>
    <row r="32" spans="2:23">
      <c r="B32" s="228" t="s">
        <v>67</v>
      </c>
      <c r="C32" s="229" t="s">
        <v>75</v>
      </c>
      <c r="D32" s="227" t="s">
        <v>59</v>
      </c>
      <c r="E32" s="167">
        <v>408339.91</v>
      </c>
      <c r="F32" s="215">
        <v>563613.85</v>
      </c>
      <c r="G32" s="102">
        <f t="shared" si="15"/>
        <v>591794.54249999998</v>
      </c>
      <c r="H32" s="102">
        <f t="shared" si="14"/>
        <v>621384.26962499996</v>
      </c>
      <c r="I32" s="102">
        <f t="shared" si="14"/>
        <v>652453.48310624994</v>
      </c>
      <c r="J32" s="102">
        <f t="shared" si="14"/>
        <v>685076.15726156242</v>
      </c>
      <c r="K32" s="102">
        <f t="shared" si="14"/>
        <v>719329.9651246405</v>
      </c>
      <c r="L32" s="102">
        <f t="shared" si="14"/>
        <v>755296.4633808725</v>
      </c>
      <c r="M32" s="102">
        <f t="shared" si="14"/>
        <v>793061.28654991614</v>
      </c>
      <c r="N32" s="102">
        <f t="shared" si="14"/>
        <v>832714.3508774119</v>
      </c>
      <c r="O32" s="102">
        <f t="shared" si="14"/>
        <v>874350.06842128246</v>
      </c>
      <c r="P32" s="102">
        <f t="shared" si="14"/>
        <v>918067.57184234657</v>
      </c>
      <c r="Q32" s="102">
        <f t="shared" si="14"/>
        <v>963970.95043446391</v>
      </c>
      <c r="R32" s="102">
        <f t="shared" si="14"/>
        <v>1012169.4979561871</v>
      </c>
      <c r="S32" s="102">
        <f t="shared" si="14"/>
        <v>1062777.9728539966</v>
      </c>
      <c r="T32" s="102">
        <f t="shared" si="14"/>
        <v>1115916.8714966965</v>
      </c>
      <c r="U32" s="102">
        <f t="shared" si="14"/>
        <v>1171712.7150715312</v>
      </c>
      <c r="V32" s="102">
        <f t="shared" si="14"/>
        <v>1230298.3508251079</v>
      </c>
      <c r="W32" s="102">
        <f t="shared" si="14"/>
        <v>1291813.2683663634</v>
      </c>
    </row>
    <row r="33" spans="2:23">
      <c r="B33" s="228"/>
      <c r="C33" s="229" t="s">
        <v>76</v>
      </c>
      <c r="D33" s="227" t="s">
        <v>59</v>
      </c>
      <c r="E33" s="167">
        <v>0</v>
      </c>
      <c r="F33" s="183">
        <v>0</v>
      </c>
      <c r="G33" s="102">
        <f t="shared" si="15"/>
        <v>0</v>
      </c>
      <c r="H33" s="102">
        <f t="shared" si="14"/>
        <v>0</v>
      </c>
      <c r="I33" s="102">
        <f t="shared" si="14"/>
        <v>0</v>
      </c>
      <c r="J33" s="102">
        <f t="shared" si="14"/>
        <v>0</v>
      </c>
      <c r="K33" s="102">
        <f t="shared" si="14"/>
        <v>0</v>
      </c>
      <c r="L33" s="102">
        <f t="shared" si="14"/>
        <v>0</v>
      </c>
      <c r="M33" s="102">
        <f t="shared" si="14"/>
        <v>0</v>
      </c>
      <c r="N33" s="102">
        <f t="shared" si="14"/>
        <v>0</v>
      </c>
      <c r="O33" s="102">
        <f t="shared" si="14"/>
        <v>0</v>
      </c>
      <c r="P33" s="102">
        <f t="shared" si="14"/>
        <v>0</v>
      </c>
      <c r="Q33" s="102">
        <f t="shared" si="14"/>
        <v>0</v>
      </c>
      <c r="R33" s="102">
        <f t="shared" si="14"/>
        <v>0</v>
      </c>
      <c r="S33" s="102">
        <f t="shared" si="14"/>
        <v>0</v>
      </c>
      <c r="T33" s="102">
        <f t="shared" si="14"/>
        <v>0</v>
      </c>
      <c r="U33" s="102">
        <f t="shared" si="14"/>
        <v>0</v>
      </c>
      <c r="V33" s="102">
        <f t="shared" si="14"/>
        <v>0</v>
      </c>
      <c r="W33" s="102">
        <f t="shared" si="14"/>
        <v>0</v>
      </c>
    </row>
    <row r="34" spans="2:23">
      <c r="B34" s="228" t="s">
        <v>77</v>
      </c>
      <c r="C34" s="229" t="s">
        <v>78</v>
      </c>
      <c r="D34" s="227" t="s">
        <v>59</v>
      </c>
      <c r="E34" s="167">
        <v>942440.32</v>
      </c>
      <c r="F34" s="215">
        <v>1117113.08</v>
      </c>
      <c r="G34" s="102">
        <f t="shared" si="15"/>
        <v>1172968.7340000002</v>
      </c>
      <c r="H34" s="102">
        <f t="shared" si="14"/>
        <v>1231617.1707000001</v>
      </c>
      <c r="I34" s="102">
        <f t="shared" si="14"/>
        <v>1293198.0292350003</v>
      </c>
      <c r="J34" s="102">
        <f t="shared" si="14"/>
        <v>1357857.9306967503</v>
      </c>
      <c r="K34" s="102">
        <f t="shared" si="14"/>
        <v>1425750.8272315878</v>
      </c>
      <c r="L34" s="102">
        <f t="shared" si="14"/>
        <v>1497038.3685931673</v>
      </c>
      <c r="M34" s="102">
        <f t="shared" si="14"/>
        <v>1571890.2870228256</v>
      </c>
      <c r="N34" s="102">
        <f t="shared" si="14"/>
        <v>1650484.801373967</v>
      </c>
      <c r="O34" s="102">
        <f t="shared" si="14"/>
        <v>1733009.0414426653</v>
      </c>
      <c r="P34" s="102">
        <f t="shared" si="14"/>
        <v>1819659.4935147986</v>
      </c>
      <c r="Q34" s="102">
        <f t="shared" si="14"/>
        <v>1910642.4681905385</v>
      </c>
      <c r="R34" s="102">
        <f t="shared" si="14"/>
        <v>2006174.5916000654</v>
      </c>
      <c r="S34" s="102">
        <f t="shared" si="14"/>
        <v>2106483.3211800684</v>
      </c>
      <c r="T34" s="102">
        <f t="shared" si="14"/>
        <v>2211807.4872390716</v>
      </c>
      <c r="U34" s="102">
        <f t="shared" si="14"/>
        <v>2322397.8616010253</v>
      </c>
      <c r="V34" s="102">
        <f t="shared" si="14"/>
        <v>2438517.7546810764</v>
      </c>
      <c r="W34" s="102">
        <f t="shared" si="14"/>
        <v>2560443.64241513</v>
      </c>
    </row>
    <row r="35" spans="2:23">
      <c r="B35" s="228" t="s">
        <v>79</v>
      </c>
      <c r="C35" s="230" t="s">
        <v>80</v>
      </c>
      <c r="D35" s="227" t="s">
        <v>59</v>
      </c>
      <c r="E35" s="167">
        <v>227869.87</v>
      </c>
      <c r="F35" s="215">
        <v>230960.23</v>
      </c>
      <c r="G35" s="102">
        <f t="shared" si="15"/>
        <v>242508.2415</v>
      </c>
      <c r="H35" s="102">
        <f t="shared" si="14"/>
        <v>254633.653575</v>
      </c>
      <c r="I35" s="102">
        <f t="shared" si="14"/>
        <v>267365.33625375002</v>
      </c>
      <c r="J35" s="102">
        <f t="shared" si="14"/>
        <v>280733.60306643753</v>
      </c>
      <c r="K35" s="102">
        <f t="shared" si="14"/>
        <v>294770.28321975941</v>
      </c>
      <c r="L35" s="102">
        <f t="shared" si="14"/>
        <v>309508.79738074739</v>
      </c>
      <c r="M35" s="102">
        <f t="shared" si="14"/>
        <v>324984.23724978475</v>
      </c>
      <c r="N35" s="102">
        <f t="shared" si="14"/>
        <v>341233.44911227399</v>
      </c>
      <c r="O35" s="102">
        <f t="shared" si="14"/>
        <v>358295.12156788766</v>
      </c>
      <c r="P35" s="102">
        <f t="shared" si="14"/>
        <v>376209.87764628202</v>
      </c>
      <c r="Q35" s="102">
        <f t="shared" si="14"/>
        <v>395020.37152859615</v>
      </c>
      <c r="R35" s="102">
        <f t="shared" si="14"/>
        <v>414771.39010502596</v>
      </c>
      <c r="S35" s="102">
        <f t="shared" si="14"/>
        <v>435509.95961027726</v>
      </c>
      <c r="T35" s="102">
        <f t="shared" si="14"/>
        <v>457285.45759079111</v>
      </c>
      <c r="U35" s="102">
        <f t="shared" si="14"/>
        <v>480149.73047033069</v>
      </c>
      <c r="V35" s="102">
        <f t="shared" si="14"/>
        <v>504157.21699384722</v>
      </c>
      <c r="W35" s="102">
        <f t="shared" si="14"/>
        <v>529365.07784353953</v>
      </c>
    </row>
    <row r="36" spans="2:23">
      <c r="B36" s="228" t="s">
        <v>81</v>
      </c>
      <c r="C36" s="229" t="s">
        <v>82</v>
      </c>
      <c r="D36" s="227" t="s">
        <v>59</v>
      </c>
      <c r="E36" s="167">
        <v>23296.02</v>
      </c>
      <c r="F36" s="215">
        <v>62100.44</v>
      </c>
      <c r="G36" s="102">
        <f t="shared" si="15"/>
        <v>65205.462</v>
      </c>
      <c r="H36" s="102">
        <f t="shared" si="14"/>
        <v>68465.735100000005</v>
      </c>
      <c r="I36" s="102">
        <f t="shared" si="14"/>
        <v>71889.021854999999</v>
      </c>
      <c r="J36" s="102">
        <f t="shared" si="14"/>
        <v>75483.472947749993</v>
      </c>
      <c r="K36" s="102">
        <f t="shared" si="14"/>
        <v>79257.646595137499</v>
      </c>
      <c r="L36" s="102">
        <f t="shared" si="14"/>
        <v>83220.528924894374</v>
      </c>
      <c r="M36" s="102">
        <f t="shared" si="14"/>
        <v>87381.555371139097</v>
      </c>
      <c r="N36" s="102">
        <f t="shared" si="14"/>
        <v>91750.633139696045</v>
      </c>
      <c r="O36" s="102">
        <f t="shared" si="14"/>
        <v>96338.164796680852</v>
      </c>
      <c r="P36" s="102">
        <f t="shared" si="14"/>
        <v>101155.07303651489</v>
      </c>
      <c r="Q36" s="102">
        <f t="shared" si="14"/>
        <v>106212.82668834063</v>
      </c>
      <c r="R36" s="102">
        <f t="shared" si="14"/>
        <v>111523.46802275766</v>
      </c>
      <c r="S36" s="102">
        <f t="shared" si="14"/>
        <v>117099.64142389555</v>
      </c>
      <c r="T36" s="102">
        <f t="shared" si="14"/>
        <v>122954.62349509033</v>
      </c>
      <c r="U36" s="102">
        <f t="shared" si="14"/>
        <v>129102.35466984485</v>
      </c>
      <c r="V36" s="102">
        <f t="shared" si="14"/>
        <v>135557.4724033371</v>
      </c>
      <c r="W36" s="102">
        <f t="shared" si="14"/>
        <v>142335.34602350395</v>
      </c>
    </row>
    <row r="37" spans="2:23">
      <c r="B37" s="228" t="s">
        <v>83</v>
      </c>
      <c r="C37" s="230" t="s">
        <v>84</v>
      </c>
      <c r="D37" s="227" t="s">
        <v>59</v>
      </c>
      <c r="E37" s="167">
        <v>13901.02</v>
      </c>
      <c r="F37" s="215">
        <v>4458.1400000000003</v>
      </c>
      <c r="G37" s="102">
        <f t="shared" si="15"/>
        <v>4681.0470000000005</v>
      </c>
      <c r="H37" s="102">
        <f t="shared" si="14"/>
        <v>4915.0993500000004</v>
      </c>
      <c r="I37" s="102">
        <f t="shared" si="14"/>
        <v>5160.8543175000004</v>
      </c>
      <c r="J37" s="102">
        <f t="shared" si="14"/>
        <v>5418.8970333750003</v>
      </c>
      <c r="K37" s="102">
        <f t="shared" si="14"/>
        <v>5689.8418850437502</v>
      </c>
      <c r="L37" s="102">
        <f t="shared" si="14"/>
        <v>5974.3339792959378</v>
      </c>
      <c r="M37" s="102">
        <f t="shared" si="14"/>
        <v>6273.0506782607345</v>
      </c>
      <c r="N37" s="102">
        <f t="shared" si="14"/>
        <v>6586.7032121737711</v>
      </c>
      <c r="O37" s="102">
        <f t="shared" si="14"/>
        <v>6916.0383727824601</v>
      </c>
      <c r="P37" s="102">
        <f t="shared" si="14"/>
        <v>7261.8402914215831</v>
      </c>
      <c r="Q37" s="102">
        <f t="shared" si="14"/>
        <v>7624.9323059926619</v>
      </c>
      <c r="R37" s="102">
        <f t="shared" si="14"/>
        <v>8006.1789212922949</v>
      </c>
      <c r="S37" s="102">
        <f t="shared" si="14"/>
        <v>8406.4878673569092</v>
      </c>
      <c r="T37" s="102">
        <f t="shared" si="14"/>
        <v>8826.8122607247551</v>
      </c>
      <c r="U37" s="102">
        <f t="shared" si="14"/>
        <v>9268.1528737609933</v>
      </c>
      <c r="V37" s="102">
        <f t="shared" si="14"/>
        <v>9731.5605174490429</v>
      </c>
      <c r="W37" s="102">
        <f t="shared" si="14"/>
        <v>10218.138543321495</v>
      </c>
    </row>
    <row r="38" spans="2:23">
      <c r="B38" s="225" t="s">
        <v>85</v>
      </c>
      <c r="C38" s="231" t="s">
        <v>86</v>
      </c>
      <c r="D38" s="227" t="s">
        <v>59</v>
      </c>
      <c r="E38" s="166">
        <f>E22-E28</f>
        <v>28857.810000000056</v>
      </c>
      <c r="F38" s="166">
        <f>F22-F28</f>
        <v>-7662.9499999997206</v>
      </c>
      <c r="G38" s="166">
        <f>G22-G28</f>
        <v>37396.754499999806</v>
      </c>
      <c r="H38" s="166">
        <f t="shared" ref="H38:W38" si="18">H22-H28</f>
        <v>-322665.82934822515</v>
      </c>
      <c r="I38" s="166">
        <f t="shared" si="18"/>
        <v>102438.13408758864</v>
      </c>
      <c r="J38" s="166">
        <f t="shared" si="18"/>
        <v>146521.60602546763</v>
      </c>
      <c r="K38" s="166">
        <f t="shared" si="18"/>
        <v>190861.17329856614</v>
      </c>
      <c r="L38" s="166">
        <f t="shared" si="18"/>
        <v>235567.04458672786</v>
      </c>
      <c r="M38" s="166">
        <f t="shared" si="18"/>
        <v>280750.06880813697</v>
      </c>
      <c r="N38" s="166">
        <f t="shared" si="18"/>
        <v>326522.01064101327</v>
      </c>
      <c r="O38" s="166">
        <f t="shared" si="18"/>
        <v>372995.82764590811</v>
      </c>
      <c r="P38" s="166">
        <f t="shared" si="18"/>
        <v>420285.94967740495</v>
      </c>
      <c r="Q38" s="166">
        <f t="shared" si="18"/>
        <v>468508.56127801817</v>
      </c>
      <c r="R38" s="166">
        <f t="shared" si="18"/>
        <v>517781.88775282539</v>
      </c>
      <c r="S38" s="166">
        <f t="shared" si="18"/>
        <v>568226.48563082609</v>
      </c>
      <c r="T38" s="166">
        <f t="shared" si="18"/>
        <v>619965.53822820913</v>
      </c>
      <c r="U38" s="166">
        <f t="shared" si="18"/>
        <v>673125.15703967027</v>
      </c>
      <c r="V38" s="166">
        <f t="shared" si="18"/>
        <v>727834.68969670311</v>
      </c>
      <c r="W38" s="166">
        <f t="shared" si="18"/>
        <v>784227.03524633218</v>
      </c>
    </row>
    <row r="39" spans="2:23">
      <c r="B39" s="225" t="s">
        <v>87</v>
      </c>
      <c r="C39" s="231" t="s">
        <v>88</v>
      </c>
      <c r="D39" s="227" t="s">
        <v>59</v>
      </c>
      <c r="E39" s="166">
        <f>SUM(E40:E42)</f>
        <v>21819.210000000003</v>
      </c>
      <c r="F39" s="166">
        <f>SUM(F40:F42)</f>
        <v>206444.12</v>
      </c>
      <c r="G39" s="166">
        <f>SUM(G40:G42)</f>
        <v>216766.326</v>
      </c>
      <c r="H39" s="166">
        <f t="shared" ref="H39:W39" si="19">SUM(H40:H42)</f>
        <v>571262.3036272414</v>
      </c>
      <c r="I39" s="166">
        <f t="shared" si="19"/>
        <v>238984.874415</v>
      </c>
      <c r="J39" s="166">
        <f t="shared" si="19"/>
        <v>250934.11813575</v>
      </c>
      <c r="K39" s="166">
        <f t="shared" si="19"/>
        <v>263480.82404253748</v>
      </c>
      <c r="L39" s="166">
        <f t="shared" si="19"/>
        <v>276654.86524466437</v>
      </c>
      <c r="M39" s="166">
        <f t="shared" si="19"/>
        <v>290487.60850689758</v>
      </c>
      <c r="N39" s="166">
        <f t="shared" si="19"/>
        <v>305011.98893224244</v>
      </c>
      <c r="O39" s="166">
        <f t="shared" si="19"/>
        <v>320262.58837885456</v>
      </c>
      <c r="P39" s="166">
        <f t="shared" si="19"/>
        <v>336275.71779779729</v>
      </c>
      <c r="Q39" s="166">
        <f t="shared" si="19"/>
        <v>353089.50368768716</v>
      </c>
      <c r="R39" s="166">
        <f t="shared" si="19"/>
        <v>370743.97887207154</v>
      </c>
      <c r="S39" s="166">
        <f t="shared" si="19"/>
        <v>389281.1778156751</v>
      </c>
      <c r="T39" s="166">
        <f t="shared" si="19"/>
        <v>408745.23670645885</v>
      </c>
      <c r="U39" s="166">
        <f t="shared" si="19"/>
        <v>429182.4985417818</v>
      </c>
      <c r="V39" s="166">
        <f t="shared" si="19"/>
        <v>450641.62346887088</v>
      </c>
      <c r="W39" s="166">
        <f t="shared" si="19"/>
        <v>473173.70464231441</v>
      </c>
    </row>
    <row r="40" spans="2:23">
      <c r="B40" s="228" t="s">
        <v>61</v>
      </c>
      <c r="C40" s="230" t="s">
        <v>89</v>
      </c>
      <c r="D40" s="227" t="s">
        <v>59</v>
      </c>
      <c r="E40" s="167">
        <v>0</v>
      </c>
      <c r="F40" s="215">
        <v>0</v>
      </c>
      <c r="G40" s="102">
        <f t="shared" si="15"/>
        <v>0</v>
      </c>
      <c r="H40" s="102">
        <f t="shared" ref="H40:W55" si="20">G40+G40*0.05</f>
        <v>0</v>
      </c>
      <c r="I40" s="102">
        <f t="shared" si="20"/>
        <v>0</v>
      </c>
      <c r="J40" s="102">
        <f t="shared" si="20"/>
        <v>0</v>
      </c>
      <c r="K40" s="102">
        <f t="shared" si="20"/>
        <v>0</v>
      </c>
      <c r="L40" s="102">
        <f t="shared" si="20"/>
        <v>0</v>
      </c>
      <c r="M40" s="102">
        <f t="shared" si="20"/>
        <v>0</v>
      </c>
      <c r="N40" s="102">
        <f t="shared" si="20"/>
        <v>0</v>
      </c>
      <c r="O40" s="102">
        <f t="shared" si="20"/>
        <v>0</v>
      </c>
      <c r="P40" s="102">
        <f t="shared" si="20"/>
        <v>0</v>
      </c>
      <c r="Q40" s="102">
        <f t="shared" si="20"/>
        <v>0</v>
      </c>
      <c r="R40" s="102">
        <f t="shared" si="20"/>
        <v>0</v>
      </c>
      <c r="S40" s="102">
        <f t="shared" si="20"/>
        <v>0</v>
      </c>
      <c r="T40" s="102">
        <f t="shared" si="20"/>
        <v>0</v>
      </c>
      <c r="U40" s="102">
        <f t="shared" si="20"/>
        <v>0</v>
      </c>
      <c r="V40" s="102">
        <f t="shared" si="20"/>
        <v>0</v>
      </c>
      <c r="W40" s="102">
        <f t="shared" si="20"/>
        <v>0</v>
      </c>
    </row>
    <row r="41" spans="2:23">
      <c r="B41" s="228" t="s">
        <v>63</v>
      </c>
      <c r="C41" s="229" t="s">
        <v>90</v>
      </c>
      <c r="D41" s="227" t="s">
        <v>59</v>
      </c>
      <c r="E41" s="167">
        <v>18047.990000000002</v>
      </c>
      <c r="F41" s="215">
        <v>0</v>
      </c>
      <c r="G41" s="102">
        <f t="shared" si="15"/>
        <v>0</v>
      </c>
      <c r="H41" s="271">
        <f>M15</f>
        <v>343657.6613272414</v>
      </c>
      <c r="I41" s="102">
        <v>0</v>
      </c>
      <c r="J41" s="102">
        <f t="shared" si="20"/>
        <v>0</v>
      </c>
      <c r="K41" s="102">
        <f t="shared" si="20"/>
        <v>0</v>
      </c>
      <c r="L41" s="102">
        <f t="shared" si="20"/>
        <v>0</v>
      </c>
      <c r="M41" s="102">
        <f t="shared" si="20"/>
        <v>0</v>
      </c>
      <c r="N41" s="102">
        <f t="shared" si="20"/>
        <v>0</v>
      </c>
      <c r="O41" s="102">
        <f t="shared" si="20"/>
        <v>0</v>
      </c>
      <c r="P41" s="102">
        <f t="shared" si="20"/>
        <v>0</v>
      </c>
      <c r="Q41" s="102">
        <f t="shared" si="20"/>
        <v>0</v>
      </c>
      <c r="R41" s="102">
        <f t="shared" si="20"/>
        <v>0</v>
      </c>
      <c r="S41" s="102">
        <f t="shared" si="20"/>
        <v>0</v>
      </c>
      <c r="T41" s="102">
        <f t="shared" si="20"/>
        <v>0</v>
      </c>
      <c r="U41" s="102">
        <f t="shared" si="20"/>
        <v>0</v>
      </c>
      <c r="V41" s="102">
        <f t="shared" si="20"/>
        <v>0</v>
      </c>
      <c r="W41" s="102">
        <f t="shared" si="20"/>
        <v>0</v>
      </c>
    </row>
    <row r="42" spans="2:23">
      <c r="B42" s="228" t="s">
        <v>65</v>
      </c>
      <c r="C42" s="229" t="s">
        <v>91</v>
      </c>
      <c r="D42" s="227" t="s">
        <v>59</v>
      </c>
      <c r="E42" s="167">
        <v>3771.22</v>
      </c>
      <c r="F42" s="215">
        <v>206444.12</v>
      </c>
      <c r="G42" s="102">
        <f t="shared" si="15"/>
        <v>216766.326</v>
      </c>
      <c r="H42" s="102">
        <f t="shared" si="20"/>
        <v>227604.64230000001</v>
      </c>
      <c r="I42" s="102">
        <f t="shared" si="20"/>
        <v>238984.874415</v>
      </c>
      <c r="J42" s="102">
        <f t="shared" si="20"/>
        <v>250934.11813575</v>
      </c>
      <c r="K42" s="102">
        <f t="shared" si="20"/>
        <v>263480.82404253748</v>
      </c>
      <c r="L42" s="102">
        <f t="shared" si="20"/>
        <v>276654.86524466437</v>
      </c>
      <c r="M42" s="102">
        <f t="shared" si="20"/>
        <v>290487.60850689758</v>
      </c>
      <c r="N42" s="102">
        <f t="shared" si="20"/>
        <v>305011.98893224244</v>
      </c>
      <c r="O42" s="102">
        <f t="shared" si="20"/>
        <v>320262.58837885456</v>
      </c>
      <c r="P42" s="102">
        <f t="shared" si="20"/>
        <v>336275.71779779729</v>
      </c>
      <c r="Q42" s="102">
        <f t="shared" si="20"/>
        <v>353089.50368768716</v>
      </c>
      <c r="R42" s="102">
        <f t="shared" si="20"/>
        <v>370743.97887207154</v>
      </c>
      <c r="S42" s="102">
        <f t="shared" si="20"/>
        <v>389281.1778156751</v>
      </c>
      <c r="T42" s="102">
        <f t="shared" si="20"/>
        <v>408745.23670645885</v>
      </c>
      <c r="U42" s="102">
        <f t="shared" si="20"/>
        <v>429182.4985417818</v>
      </c>
      <c r="V42" s="102">
        <f t="shared" si="20"/>
        <v>450641.62346887088</v>
      </c>
      <c r="W42" s="102">
        <f t="shared" si="20"/>
        <v>473173.70464231441</v>
      </c>
    </row>
    <row r="43" spans="2:23">
      <c r="B43" s="225" t="s">
        <v>92</v>
      </c>
      <c r="C43" s="231" t="s">
        <v>93</v>
      </c>
      <c r="D43" s="227" t="s">
        <v>59</v>
      </c>
      <c r="E43" s="166">
        <f>SUM(E44:E46)</f>
        <v>22336.23</v>
      </c>
      <c r="F43" s="166">
        <f>SUM(F44:F46)</f>
        <v>2665.03</v>
      </c>
      <c r="G43" s="166">
        <f>SUM(G44:G46)</f>
        <v>2798.2815000000001</v>
      </c>
      <c r="H43" s="166">
        <f t="shared" ref="H43:W43" si="21">SUM(H44:H46)</f>
        <v>2938.1955750000002</v>
      </c>
      <c r="I43" s="166">
        <f t="shared" si="21"/>
        <v>3085.1053537500002</v>
      </c>
      <c r="J43" s="166">
        <f t="shared" si="21"/>
        <v>3239.3606214375004</v>
      </c>
      <c r="K43" s="166">
        <f t="shared" si="21"/>
        <v>3401.3286525093754</v>
      </c>
      <c r="L43" s="166">
        <f t="shared" si="21"/>
        <v>3571.3950851348441</v>
      </c>
      <c r="M43" s="166">
        <f t="shared" si="21"/>
        <v>3749.9648393915863</v>
      </c>
      <c r="N43" s="166">
        <f t="shared" si="21"/>
        <v>3937.4630813611657</v>
      </c>
      <c r="O43" s="166">
        <f t="shared" si="21"/>
        <v>4134.336235429224</v>
      </c>
      <c r="P43" s="166">
        <f t="shared" si="21"/>
        <v>4341.0530472006849</v>
      </c>
      <c r="Q43" s="166">
        <f t="shared" si="21"/>
        <v>4558.1056995607196</v>
      </c>
      <c r="R43" s="166">
        <f t="shared" si="21"/>
        <v>4786.010984538756</v>
      </c>
      <c r="S43" s="166">
        <f t="shared" si="21"/>
        <v>5025.3115337656936</v>
      </c>
      <c r="T43" s="166">
        <f t="shared" si="21"/>
        <v>5276.5771104539781</v>
      </c>
      <c r="U43" s="166">
        <f t="shared" si="21"/>
        <v>5540.4059659766772</v>
      </c>
      <c r="V43" s="166">
        <f t="shared" si="21"/>
        <v>5817.4262642755111</v>
      </c>
      <c r="W43" s="166">
        <f t="shared" si="21"/>
        <v>6108.2975774892866</v>
      </c>
    </row>
    <row r="44" spans="2:23">
      <c r="B44" s="228" t="s">
        <v>61</v>
      </c>
      <c r="C44" s="230" t="s">
        <v>94</v>
      </c>
      <c r="D44" s="227" t="s">
        <v>59</v>
      </c>
      <c r="E44" s="167">
        <v>0</v>
      </c>
      <c r="F44" s="183">
        <v>0</v>
      </c>
      <c r="G44" s="102">
        <f t="shared" si="15"/>
        <v>0</v>
      </c>
      <c r="H44" s="102">
        <f t="shared" si="20"/>
        <v>0</v>
      </c>
      <c r="I44" s="102">
        <f t="shared" si="20"/>
        <v>0</v>
      </c>
      <c r="J44" s="102">
        <f t="shared" si="20"/>
        <v>0</v>
      </c>
      <c r="K44" s="102">
        <f t="shared" si="20"/>
        <v>0</v>
      </c>
      <c r="L44" s="102">
        <f t="shared" si="20"/>
        <v>0</v>
      </c>
      <c r="M44" s="102">
        <f t="shared" si="20"/>
        <v>0</v>
      </c>
      <c r="N44" s="102">
        <f t="shared" si="20"/>
        <v>0</v>
      </c>
      <c r="O44" s="102">
        <f t="shared" si="20"/>
        <v>0</v>
      </c>
      <c r="P44" s="102">
        <f t="shared" si="20"/>
        <v>0</v>
      </c>
      <c r="Q44" s="102">
        <f t="shared" si="20"/>
        <v>0</v>
      </c>
      <c r="R44" s="102">
        <f t="shared" si="20"/>
        <v>0</v>
      </c>
      <c r="S44" s="102">
        <f t="shared" si="20"/>
        <v>0</v>
      </c>
      <c r="T44" s="102">
        <f t="shared" si="20"/>
        <v>0</v>
      </c>
      <c r="U44" s="102">
        <f t="shared" si="20"/>
        <v>0</v>
      </c>
      <c r="V44" s="102">
        <f t="shared" si="20"/>
        <v>0</v>
      </c>
      <c r="W44" s="102">
        <f t="shared" si="20"/>
        <v>0</v>
      </c>
    </row>
    <row r="45" spans="2:23">
      <c r="B45" s="228" t="s">
        <v>63</v>
      </c>
      <c r="C45" s="230" t="s">
        <v>95</v>
      </c>
      <c r="D45" s="227" t="s">
        <v>59</v>
      </c>
      <c r="E45" s="167">
        <v>0</v>
      </c>
      <c r="F45" s="215">
        <v>0</v>
      </c>
      <c r="G45" s="102">
        <f t="shared" si="15"/>
        <v>0</v>
      </c>
      <c r="H45" s="102">
        <f t="shared" si="20"/>
        <v>0</v>
      </c>
      <c r="I45" s="102">
        <f t="shared" si="20"/>
        <v>0</v>
      </c>
      <c r="J45" s="102">
        <f t="shared" si="20"/>
        <v>0</v>
      </c>
      <c r="K45" s="102">
        <f t="shared" si="20"/>
        <v>0</v>
      </c>
      <c r="L45" s="102">
        <f t="shared" si="20"/>
        <v>0</v>
      </c>
      <c r="M45" s="102">
        <f t="shared" si="20"/>
        <v>0</v>
      </c>
      <c r="N45" s="102">
        <f t="shared" si="20"/>
        <v>0</v>
      </c>
      <c r="O45" s="102">
        <f t="shared" si="20"/>
        <v>0</v>
      </c>
      <c r="P45" s="102">
        <f t="shared" si="20"/>
        <v>0</v>
      </c>
      <c r="Q45" s="102">
        <f t="shared" si="20"/>
        <v>0</v>
      </c>
      <c r="R45" s="102">
        <f t="shared" si="20"/>
        <v>0</v>
      </c>
      <c r="S45" s="102">
        <f t="shared" si="20"/>
        <v>0</v>
      </c>
      <c r="T45" s="102">
        <f t="shared" si="20"/>
        <v>0</v>
      </c>
      <c r="U45" s="102">
        <f t="shared" si="20"/>
        <v>0</v>
      </c>
      <c r="V45" s="102">
        <f t="shared" si="20"/>
        <v>0</v>
      </c>
      <c r="W45" s="102">
        <f t="shared" si="20"/>
        <v>0</v>
      </c>
    </row>
    <row r="46" spans="2:23">
      <c r="B46" s="228" t="s">
        <v>65</v>
      </c>
      <c r="C46" s="229" t="s">
        <v>96</v>
      </c>
      <c r="D46" s="227" t="s">
        <v>59</v>
      </c>
      <c r="E46" s="167">
        <v>22336.23</v>
      </c>
      <c r="F46" s="215">
        <v>2665.03</v>
      </c>
      <c r="G46" s="102">
        <f t="shared" si="15"/>
        <v>2798.2815000000001</v>
      </c>
      <c r="H46" s="102">
        <f t="shared" si="20"/>
        <v>2938.1955750000002</v>
      </c>
      <c r="I46" s="102">
        <f t="shared" si="20"/>
        <v>3085.1053537500002</v>
      </c>
      <c r="J46" s="102">
        <f t="shared" si="20"/>
        <v>3239.3606214375004</v>
      </c>
      <c r="K46" s="102">
        <f t="shared" si="20"/>
        <v>3401.3286525093754</v>
      </c>
      <c r="L46" s="102">
        <f t="shared" si="20"/>
        <v>3571.3950851348441</v>
      </c>
      <c r="M46" s="102">
        <f t="shared" si="20"/>
        <v>3749.9648393915863</v>
      </c>
      <c r="N46" s="102">
        <f t="shared" si="20"/>
        <v>3937.4630813611657</v>
      </c>
      <c r="O46" s="102">
        <f t="shared" si="20"/>
        <v>4134.336235429224</v>
      </c>
      <c r="P46" s="102">
        <f t="shared" si="20"/>
        <v>4341.0530472006849</v>
      </c>
      <c r="Q46" s="102">
        <f t="shared" si="20"/>
        <v>4558.1056995607196</v>
      </c>
      <c r="R46" s="102">
        <f t="shared" si="20"/>
        <v>4786.010984538756</v>
      </c>
      <c r="S46" s="102">
        <f t="shared" si="20"/>
        <v>5025.3115337656936</v>
      </c>
      <c r="T46" s="102">
        <f t="shared" si="20"/>
        <v>5276.5771104539781</v>
      </c>
      <c r="U46" s="102">
        <f t="shared" si="20"/>
        <v>5540.4059659766772</v>
      </c>
      <c r="V46" s="102">
        <f t="shared" si="20"/>
        <v>5817.4262642755111</v>
      </c>
      <c r="W46" s="102">
        <f t="shared" si="20"/>
        <v>6108.2975774892866</v>
      </c>
    </row>
    <row r="47" spans="2:23">
      <c r="B47" s="225" t="s">
        <v>97</v>
      </c>
      <c r="C47" s="226" t="s">
        <v>98</v>
      </c>
      <c r="D47" s="227" t="s">
        <v>59</v>
      </c>
      <c r="E47" s="166">
        <f>E38+E39-E43</f>
        <v>28340.790000000063</v>
      </c>
      <c r="F47" s="166">
        <f>F38+F39-F43</f>
        <v>196116.14000000028</v>
      </c>
      <c r="G47" s="166">
        <f>G38+G39-G43</f>
        <v>251364.7989999998</v>
      </c>
      <c r="H47" s="166">
        <f t="shared" ref="H47:W47" si="22">H38+H39-H43</f>
        <v>245658.27870401627</v>
      </c>
      <c r="I47" s="166">
        <f t="shared" si="22"/>
        <v>338337.90314883861</v>
      </c>
      <c r="J47" s="166">
        <f t="shared" si="22"/>
        <v>394216.36353978014</v>
      </c>
      <c r="K47" s="166">
        <f t="shared" si="22"/>
        <v>450940.66868859425</v>
      </c>
      <c r="L47" s="166">
        <f t="shared" si="22"/>
        <v>508650.5147462574</v>
      </c>
      <c r="M47" s="166">
        <f t="shared" si="22"/>
        <v>567487.71247564291</v>
      </c>
      <c r="N47" s="166">
        <f t="shared" si="22"/>
        <v>627596.53649189451</v>
      </c>
      <c r="O47" s="166">
        <f t="shared" si="22"/>
        <v>689124.07978933339</v>
      </c>
      <c r="P47" s="166">
        <f t="shared" si="22"/>
        <v>752220.61442800157</v>
      </c>
      <c r="Q47" s="166">
        <f t="shared" si="22"/>
        <v>817039.95926614467</v>
      </c>
      <c r="R47" s="166">
        <f t="shared" si="22"/>
        <v>883739.85564035818</v>
      </c>
      <c r="S47" s="166">
        <f t="shared" si="22"/>
        <v>952482.35191273538</v>
      </c>
      <c r="T47" s="166">
        <f t="shared" si="22"/>
        <v>1023434.197824214</v>
      </c>
      <c r="U47" s="166">
        <f t="shared" si="22"/>
        <v>1096767.2496154753</v>
      </c>
      <c r="V47" s="166">
        <f t="shared" si="22"/>
        <v>1172658.8869012983</v>
      </c>
      <c r="W47" s="166">
        <f t="shared" si="22"/>
        <v>1251292.4423111572</v>
      </c>
    </row>
    <row r="48" spans="2:23">
      <c r="B48" s="225" t="s">
        <v>99</v>
      </c>
      <c r="C48" s="231" t="s">
        <v>100</v>
      </c>
      <c r="D48" s="227" t="s">
        <v>59</v>
      </c>
      <c r="E48" s="166">
        <f>SUM(E49:E55)</f>
        <v>7235.12</v>
      </c>
      <c r="F48" s="166">
        <f>SUM(F49:F55)</f>
        <v>18848.12</v>
      </c>
      <c r="G48" s="166">
        <f>SUM(G49:G55)</f>
        <v>19790.525999999998</v>
      </c>
      <c r="H48" s="166">
        <f t="shared" ref="H48:W48" si="23">SUM(H49:H55)</f>
        <v>20780.052299999999</v>
      </c>
      <c r="I48" s="166">
        <f t="shared" si="23"/>
        <v>21819.054915000001</v>
      </c>
      <c r="J48" s="166">
        <f t="shared" si="23"/>
        <v>22910.007660750001</v>
      </c>
      <c r="K48" s="166">
        <f t="shared" si="23"/>
        <v>24055.5080437875</v>
      </c>
      <c r="L48" s="166">
        <f t="shared" si="23"/>
        <v>25258.283445976875</v>
      </c>
      <c r="M48" s="166">
        <f t="shared" si="23"/>
        <v>26521.197618275717</v>
      </c>
      <c r="N48" s="166">
        <f t="shared" si="23"/>
        <v>27847.257499189502</v>
      </c>
      <c r="O48" s="166">
        <f t="shared" si="23"/>
        <v>29239.620374148977</v>
      </c>
      <c r="P48" s="166">
        <f t="shared" si="23"/>
        <v>30701.601392856428</v>
      </c>
      <c r="Q48" s="166">
        <f t="shared" si="23"/>
        <v>32236.681462499248</v>
      </c>
      <c r="R48" s="166">
        <f t="shared" si="23"/>
        <v>33848.51553562421</v>
      </c>
      <c r="S48" s="166">
        <f t="shared" si="23"/>
        <v>35540.941312405419</v>
      </c>
      <c r="T48" s="166">
        <f t="shared" si="23"/>
        <v>37317.988378025693</v>
      </c>
      <c r="U48" s="166">
        <f t="shared" si="23"/>
        <v>39183.887796926982</v>
      </c>
      <c r="V48" s="166">
        <f t="shared" si="23"/>
        <v>41143.082186773332</v>
      </c>
      <c r="W48" s="166">
        <f t="shared" si="23"/>
        <v>43200.236296112002</v>
      </c>
    </row>
    <row r="49" spans="2:23">
      <c r="B49" s="228" t="s">
        <v>61</v>
      </c>
      <c r="C49" s="230" t="s">
        <v>101</v>
      </c>
      <c r="D49" s="227" t="s">
        <v>59</v>
      </c>
      <c r="E49" s="167">
        <v>0</v>
      </c>
      <c r="F49" s="215">
        <v>0</v>
      </c>
      <c r="G49" s="102">
        <f t="shared" si="15"/>
        <v>0</v>
      </c>
      <c r="H49" s="102">
        <f t="shared" si="20"/>
        <v>0</v>
      </c>
      <c r="I49" s="102">
        <f t="shared" si="20"/>
        <v>0</v>
      </c>
      <c r="J49" s="102">
        <f t="shared" si="20"/>
        <v>0</v>
      </c>
      <c r="K49" s="102">
        <f t="shared" si="20"/>
        <v>0</v>
      </c>
      <c r="L49" s="102">
        <f t="shared" si="20"/>
        <v>0</v>
      </c>
      <c r="M49" s="102">
        <f t="shared" si="20"/>
        <v>0</v>
      </c>
      <c r="N49" s="102">
        <f t="shared" si="20"/>
        <v>0</v>
      </c>
      <c r="O49" s="102">
        <f t="shared" si="20"/>
        <v>0</v>
      </c>
      <c r="P49" s="102">
        <f t="shared" si="20"/>
        <v>0</v>
      </c>
      <c r="Q49" s="102">
        <f t="shared" si="20"/>
        <v>0</v>
      </c>
      <c r="R49" s="102">
        <f t="shared" si="20"/>
        <v>0</v>
      </c>
      <c r="S49" s="102">
        <f t="shared" si="20"/>
        <v>0</v>
      </c>
      <c r="T49" s="102">
        <f t="shared" si="20"/>
        <v>0</v>
      </c>
      <c r="U49" s="102">
        <f t="shared" si="20"/>
        <v>0</v>
      </c>
      <c r="V49" s="102">
        <f t="shared" si="20"/>
        <v>0</v>
      </c>
      <c r="W49" s="102">
        <f t="shared" si="20"/>
        <v>0</v>
      </c>
    </row>
    <row r="50" spans="2:23">
      <c r="B50" s="228"/>
      <c r="C50" s="229" t="s">
        <v>60</v>
      </c>
      <c r="D50" s="227" t="s">
        <v>59</v>
      </c>
      <c r="E50" s="167">
        <v>0</v>
      </c>
      <c r="F50" s="215">
        <v>0</v>
      </c>
      <c r="G50" s="102">
        <f t="shared" si="15"/>
        <v>0</v>
      </c>
      <c r="H50" s="102">
        <f t="shared" si="20"/>
        <v>0</v>
      </c>
      <c r="I50" s="102">
        <f t="shared" si="20"/>
        <v>0</v>
      </c>
      <c r="J50" s="102">
        <f t="shared" si="20"/>
        <v>0</v>
      </c>
      <c r="K50" s="102">
        <f t="shared" si="20"/>
        <v>0</v>
      </c>
      <c r="L50" s="102">
        <f t="shared" si="20"/>
        <v>0</v>
      </c>
      <c r="M50" s="102">
        <f t="shared" si="20"/>
        <v>0</v>
      </c>
      <c r="N50" s="102">
        <f t="shared" si="20"/>
        <v>0</v>
      </c>
      <c r="O50" s="102">
        <f t="shared" si="20"/>
        <v>0</v>
      </c>
      <c r="P50" s="102">
        <f t="shared" si="20"/>
        <v>0</v>
      </c>
      <c r="Q50" s="102">
        <f t="shared" si="20"/>
        <v>0</v>
      </c>
      <c r="R50" s="102">
        <f t="shared" si="20"/>
        <v>0</v>
      </c>
      <c r="S50" s="102">
        <f t="shared" si="20"/>
        <v>0</v>
      </c>
      <c r="T50" s="102">
        <f t="shared" si="20"/>
        <v>0</v>
      </c>
      <c r="U50" s="102">
        <f t="shared" si="20"/>
        <v>0</v>
      </c>
      <c r="V50" s="102">
        <f t="shared" si="20"/>
        <v>0</v>
      </c>
      <c r="W50" s="102">
        <f t="shared" si="20"/>
        <v>0</v>
      </c>
    </row>
    <row r="51" spans="2:23">
      <c r="B51" s="228" t="s">
        <v>63</v>
      </c>
      <c r="C51" s="229" t="s">
        <v>102</v>
      </c>
      <c r="D51" s="227" t="s">
        <v>59</v>
      </c>
      <c r="E51" s="167">
        <v>7235.12</v>
      </c>
      <c r="F51" s="215">
        <v>18848.12</v>
      </c>
      <c r="G51" s="102">
        <f t="shared" si="15"/>
        <v>19790.525999999998</v>
      </c>
      <c r="H51" s="102">
        <f t="shared" si="20"/>
        <v>20780.052299999999</v>
      </c>
      <c r="I51" s="102">
        <f t="shared" si="20"/>
        <v>21819.054915000001</v>
      </c>
      <c r="J51" s="102">
        <f t="shared" si="20"/>
        <v>22910.007660750001</v>
      </c>
      <c r="K51" s="102">
        <f t="shared" si="20"/>
        <v>24055.5080437875</v>
      </c>
      <c r="L51" s="102">
        <f t="shared" si="20"/>
        <v>25258.283445976875</v>
      </c>
      <c r="M51" s="102">
        <f t="shared" si="20"/>
        <v>26521.197618275717</v>
      </c>
      <c r="N51" s="102">
        <f t="shared" si="20"/>
        <v>27847.257499189502</v>
      </c>
      <c r="O51" s="102">
        <f t="shared" si="20"/>
        <v>29239.620374148977</v>
      </c>
      <c r="P51" s="102">
        <f t="shared" si="20"/>
        <v>30701.601392856428</v>
      </c>
      <c r="Q51" s="102">
        <f t="shared" si="20"/>
        <v>32236.681462499248</v>
      </c>
      <c r="R51" s="102">
        <f t="shared" si="20"/>
        <v>33848.51553562421</v>
      </c>
      <c r="S51" s="102">
        <f t="shared" si="20"/>
        <v>35540.941312405419</v>
      </c>
      <c r="T51" s="102">
        <f t="shared" si="20"/>
        <v>37317.988378025693</v>
      </c>
      <c r="U51" s="102">
        <f t="shared" si="20"/>
        <v>39183.887796926982</v>
      </c>
      <c r="V51" s="102">
        <f t="shared" si="20"/>
        <v>41143.082186773332</v>
      </c>
      <c r="W51" s="102">
        <f t="shared" si="20"/>
        <v>43200.236296112002</v>
      </c>
    </row>
    <row r="52" spans="2:23">
      <c r="B52" s="228"/>
      <c r="C52" s="229" t="s">
        <v>60</v>
      </c>
      <c r="D52" s="227" t="s">
        <v>59</v>
      </c>
      <c r="E52" s="167">
        <v>0</v>
      </c>
      <c r="F52" s="183">
        <v>0</v>
      </c>
      <c r="G52" s="102">
        <f t="shared" si="15"/>
        <v>0</v>
      </c>
      <c r="H52" s="102">
        <f t="shared" si="20"/>
        <v>0</v>
      </c>
      <c r="I52" s="102">
        <f t="shared" si="20"/>
        <v>0</v>
      </c>
      <c r="J52" s="102">
        <f t="shared" si="20"/>
        <v>0</v>
      </c>
      <c r="K52" s="102">
        <f t="shared" si="20"/>
        <v>0</v>
      </c>
      <c r="L52" s="102">
        <f t="shared" si="20"/>
        <v>0</v>
      </c>
      <c r="M52" s="102">
        <f t="shared" si="20"/>
        <v>0</v>
      </c>
      <c r="N52" s="102">
        <f t="shared" si="20"/>
        <v>0</v>
      </c>
      <c r="O52" s="102">
        <f t="shared" si="20"/>
        <v>0</v>
      </c>
      <c r="P52" s="102">
        <f t="shared" si="20"/>
        <v>0</v>
      </c>
      <c r="Q52" s="102">
        <f t="shared" si="20"/>
        <v>0</v>
      </c>
      <c r="R52" s="102">
        <f t="shared" si="20"/>
        <v>0</v>
      </c>
      <c r="S52" s="102">
        <f t="shared" si="20"/>
        <v>0</v>
      </c>
      <c r="T52" s="102">
        <f t="shared" si="20"/>
        <v>0</v>
      </c>
      <c r="U52" s="102">
        <f t="shared" si="20"/>
        <v>0</v>
      </c>
      <c r="V52" s="102">
        <f t="shared" si="20"/>
        <v>0</v>
      </c>
      <c r="W52" s="102">
        <f t="shared" si="20"/>
        <v>0</v>
      </c>
    </row>
    <row r="53" spans="2:23">
      <c r="B53" s="228" t="s">
        <v>65</v>
      </c>
      <c r="C53" s="229" t="s">
        <v>103</v>
      </c>
      <c r="D53" s="227" t="s">
        <v>59</v>
      </c>
      <c r="E53" s="167">
        <v>0</v>
      </c>
      <c r="F53" s="183">
        <v>0</v>
      </c>
      <c r="G53" s="102">
        <f t="shared" si="15"/>
        <v>0</v>
      </c>
      <c r="H53" s="102">
        <f t="shared" si="20"/>
        <v>0</v>
      </c>
      <c r="I53" s="102">
        <f t="shared" si="20"/>
        <v>0</v>
      </c>
      <c r="J53" s="102">
        <f t="shared" si="20"/>
        <v>0</v>
      </c>
      <c r="K53" s="102">
        <f t="shared" si="20"/>
        <v>0</v>
      </c>
      <c r="L53" s="102">
        <f t="shared" si="20"/>
        <v>0</v>
      </c>
      <c r="M53" s="102">
        <f t="shared" si="20"/>
        <v>0</v>
      </c>
      <c r="N53" s="102">
        <f t="shared" si="20"/>
        <v>0</v>
      </c>
      <c r="O53" s="102">
        <f t="shared" si="20"/>
        <v>0</v>
      </c>
      <c r="P53" s="102">
        <f t="shared" si="20"/>
        <v>0</v>
      </c>
      <c r="Q53" s="102">
        <f t="shared" si="20"/>
        <v>0</v>
      </c>
      <c r="R53" s="102">
        <f t="shared" si="20"/>
        <v>0</v>
      </c>
      <c r="S53" s="102">
        <f t="shared" si="20"/>
        <v>0</v>
      </c>
      <c r="T53" s="102">
        <f t="shared" si="20"/>
        <v>0</v>
      </c>
      <c r="U53" s="102">
        <f t="shared" si="20"/>
        <v>0</v>
      </c>
      <c r="V53" s="102">
        <f t="shared" si="20"/>
        <v>0</v>
      </c>
      <c r="W53" s="102">
        <f t="shared" si="20"/>
        <v>0</v>
      </c>
    </row>
    <row r="54" spans="2:23">
      <c r="B54" s="228" t="s">
        <v>67</v>
      </c>
      <c r="C54" s="229" t="s">
        <v>104</v>
      </c>
      <c r="D54" s="227" t="s">
        <v>59</v>
      </c>
      <c r="E54" s="167">
        <v>0</v>
      </c>
      <c r="F54" s="215">
        <v>0</v>
      </c>
      <c r="G54" s="102">
        <f t="shared" si="15"/>
        <v>0</v>
      </c>
      <c r="H54" s="102">
        <f t="shared" si="20"/>
        <v>0</v>
      </c>
      <c r="I54" s="102">
        <f t="shared" si="20"/>
        <v>0</v>
      </c>
      <c r="J54" s="102">
        <f t="shared" si="20"/>
        <v>0</v>
      </c>
      <c r="K54" s="102">
        <f t="shared" si="20"/>
        <v>0</v>
      </c>
      <c r="L54" s="102">
        <f t="shared" si="20"/>
        <v>0</v>
      </c>
      <c r="M54" s="102">
        <f t="shared" si="20"/>
        <v>0</v>
      </c>
      <c r="N54" s="102">
        <f t="shared" si="20"/>
        <v>0</v>
      </c>
      <c r="O54" s="102">
        <f t="shared" si="20"/>
        <v>0</v>
      </c>
      <c r="P54" s="102">
        <f t="shared" si="20"/>
        <v>0</v>
      </c>
      <c r="Q54" s="102">
        <f t="shared" si="20"/>
        <v>0</v>
      </c>
      <c r="R54" s="102">
        <f t="shared" si="20"/>
        <v>0</v>
      </c>
      <c r="S54" s="102">
        <f t="shared" si="20"/>
        <v>0</v>
      </c>
      <c r="T54" s="102">
        <f t="shared" si="20"/>
        <v>0</v>
      </c>
      <c r="U54" s="102">
        <f t="shared" si="20"/>
        <v>0</v>
      </c>
      <c r="V54" s="102">
        <f t="shared" si="20"/>
        <v>0</v>
      </c>
      <c r="W54" s="102">
        <f t="shared" si="20"/>
        <v>0</v>
      </c>
    </row>
    <row r="55" spans="2:23">
      <c r="B55" s="228" t="s">
        <v>77</v>
      </c>
      <c r="C55" s="229" t="s">
        <v>105</v>
      </c>
      <c r="D55" s="227" t="s">
        <v>59</v>
      </c>
      <c r="E55" s="167">
        <v>0</v>
      </c>
      <c r="F55" s="215">
        <v>0</v>
      </c>
      <c r="G55" s="102">
        <f t="shared" si="15"/>
        <v>0</v>
      </c>
      <c r="H55" s="102">
        <f t="shared" si="20"/>
        <v>0</v>
      </c>
      <c r="I55" s="102">
        <f t="shared" si="20"/>
        <v>0</v>
      </c>
      <c r="J55" s="102">
        <f t="shared" si="20"/>
        <v>0</v>
      </c>
      <c r="K55" s="102">
        <f t="shared" si="20"/>
        <v>0</v>
      </c>
      <c r="L55" s="102">
        <f t="shared" si="20"/>
        <v>0</v>
      </c>
      <c r="M55" s="102">
        <f t="shared" si="20"/>
        <v>0</v>
      </c>
      <c r="N55" s="102">
        <f t="shared" si="20"/>
        <v>0</v>
      </c>
      <c r="O55" s="102">
        <f t="shared" si="20"/>
        <v>0</v>
      </c>
      <c r="P55" s="102">
        <f t="shared" si="20"/>
        <v>0</v>
      </c>
      <c r="Q55" s="102">
        <f t="shared" si="20"/>
        <v>0</v>
      </c>
      <c r="R55" s="102">
        <f t="shared" si="20"/>
        <v>0</v>
      </c>
      <c r="S55" s="102">
        <f t="shared" si="20"/>
        <v>0</v>
      </c>
      <c r="T55" s="102">
        <f t="shared" si="20"/>
        <v>0</v>
      </c>
      <c r="U55" s="102">
        <f t="shared" si="20"/>
        <v>0</v>
      </c>
      <c r="V55" s="102">
        <f t="shared" si="20"/>
        <v>0</v>
      </c>
      <c r="W55" s="102">
        <f t="shared" si="20"/>
        <v>0</v>
      </c>
    </row>
    <row r="56" spans="2:23">
      <c r="B56" s="225" t="s">
        <v>106</v>
      </c>
      <c r="C56" s="231" t="s">
        <v>107</v>
      </c>
      <c r="D56" s="227" t="s">
        <v>59</v>
      </c>
      <c r="E56" s="166">
        <f>SUM(E57:E61)</f>
        <v>14190.68</v>
      </c>
      <c r="F56" s="166">
        <f>SUM(F57:F61)</f>
        <v>161106.16</v>
      </c>
      <c r="G56" s="166">
        <f>SUM(G57:G61)</f>
        <v>169161.46799999999</v>
      </c>
      <c r="H56" s="166">
        <f t="shared" ref="H56:W56" si="24">SUM(H57:H61)</f>
        <v>177619.54139999999</v>
      </c>
      <c r="I56" s="166">
        <f t="shared" si="24"/>
        <v>186500.51846999998</v>
      </c>
      <c r="J56" s="166">
        <f t="shared" si="24"/>
        <v>195825.54439349999</v>
      </c>
      <c r="K56" s="166">
        <f t="shared" si="24"/>
        <v>205616.82161317498</v>
      </c>
      <c r="L56" s="166">
        <f t="shared" si="24"/>
        <v>215897.66269383373</v>
      </c>
      <c r="M56" s="166">
        <f t="shared" si="24"/>
        <v>226692.54582852541</v>
      </c>
      <c r="N56" s="166">
        <f t="shared" si="24"/>
        <v>238027.17311995168</v>
      </c>
      <c r="O56" s="166">
        <f t="shared" si="24"/>
        <v>249928.53177594926</v>
      </c>
      <c r="P56" s="166">
        <f t="shared" si="24"/>
        <v>262424.95836474671</v>
      </c>
      <c r="Q56" s="166">
        <f t="shared" si="24"/>
        <v>275546.20628298406</v>
      </c>
      <c r="R56" s="166">
        <f t="shared" si="24"/>
        <v>289323.51659713325</v>
      </c>
      <c r="S56" s="166">
        <f t="shared" si="24"/>
        <v>303789.6924269899</v>
      </c>
      <c r="T56" s="166">
        <f t="shared" si="24"/>
        <v>318979.17704833939</v>
      </c>
      <c r="U56" s="166">
        <f t="shared" si="24"/>
        <v>334928.13590075634</v>
      </c>
      <c r="V56" s="166">
        <f t="shared" si="24"/>
        <v>351674.54269579414</v>
      </c>
      <c r="W56" s="166">
        <f t="shared" si="24"/>
        <v>369258.26983058383</v>
      </c>
    </row>
    <row r="57" spans="2:23">
      <c r="B57" s="228" t="s">
        <v>61</v>
      </c>
      <c r="C57" s="229" t="s">
        <v>102</v>
      </c>
      <c r="D57" s="227" t="s">
        <v>59</v>
      </c>
      <c r="E57" s="167">
        <v>14190.68</v>
      </c>
      <c r="F57" s="215">
        <v>161106.16</v>
      </c>
      <c r="G57" s="102">
        <f t="shared" si="15"/>
        <v>169161.46799999999</v>
      </c>
      <c r="H57" s="102">
        <f t="shared" ref="H57:W68" si="25">G57+G57*0.05</f>
        <v>177619.54139999999</v>
      </c>
      <c r="I57" s="102">
        <f t="shared" si="25"/>
        <v>186500.51846999998</v>
      </c>
      <c r="J57" s="102">
        <f t="shared" si="25"/>
        <v>195825.54439349999</v>
      </c>
      <c r="K57" s="102">
        <f t="shared" si="25"/>
        <v>205616.82161317498</v>
      </c>
      <c r="L57" s="102">
        <f t="shared" si="25"/>
        <v>215897.66269383373</v>
      </c>
      <c r="M57" s="102">
        <f t="shared" si="25"/>
        <v>226692.54582852541</v>
      </c>
      <c r="N57" s="102">
        <f t="shared" si="25"/>
        <v>238027.17311995168</v>
      </c>
      <c r="O57" s="102">
        <f t="shared" si="25"/>
        <v>249928.53177594926</v>
      </c>
      <c r="P57" s="102">
        <f t="shared" si="25"/>
        <v>262424.95836474671</v>
      </c>
      <c r="Q57" s="102">
        <f t="shared" si="25"/>
        <v>275546.20628298406</v>
      </c>
      <c r="R57" s="102">
        <f t="shared" si="25"/>
        <v>289323.51659713325</v>
      </c>
      <c r="S57" s="102">
        <f t="shared" si="25"/>
        <v>303789.6924269899</v>
      </c>
      <c r="T57" s="102">
        <f t="shared" si="25"/>
        <v>318979.17704833939</v>
      </c>
      <c r="U57" s="102">
        <f t="shared" si="25"/>
        <v>334928.13590075634</v>
      </c>
      <c r="V57" s="102">
        <f t="shared" si="25"/>
        <v>351674.54269579414</v>
      </c>
      <c r="W57" s="102">
        <f t="shared" si="25"/>
        <v>369258.26983058383</v>
      </c>
    </row>
    <row r="58" spans="2:23">
      <c r="B58" s="228"/>
      <c r="C58" s="229" t="s">
        <v>108</v>
      </c>
      <c r="D58" s="227" t="s">
        <v>59</v>
      </c>
      <c r="E58" s="167">
        <v>0</v>
      </c>
      <c r="F58" s="215">
        <v>0</v>
      </c>
      <c r="G58" s="102">
        <f t="shared" si="15"/>
        <v>0</v>
      </c>
      <c r="H58" s="102">
        <f t="shared" si="25"/>
        <v>0</v>
      </c>
      <c r="I58" s="102">
        <f t="shared" si="25"/>
        <v>0</v>
      </c>
      <c r="J58" s="102">
        <f t="shared" si="25"/>
        <v>0</v>
      </c>
      <c r="K58" s="102">
        <f t="shared" si="25"/>
        <v>0</v>
      </c>
      <c r="L58" s="102">
        <f t="shared" si="25"/>
        <v>0</v>
      </c>
      <c r="M58" s="102">
        <f t="shared" si="25"/>
        <v>0</v>
      </c>
      <c r="N58" s="102">
        <f t="shared" si="25"/>
        <v>0</v>
      </c>
      <c r="O58" s="102">
        <f t="shared" si="25"/>
        <v>0</v>
      </c>
      <c r="P58" s="102">
        <f t="shared" si="25"/>
        <v>0</v>
      </c>
      <c r="Q58" s="102">
        <f t="shared" si="25"/>
        <v>0</v>
      </c>
      <c r="R58" s="102">
        <f t="shared" si="25"/>
        <v>0</v>
      </c>
      <c r="S58" s="102">
        <f t="shared" si="25"/>
        <v>0</v>
      </c>
      <c r="T58" s="102">
        <f t="shared" si="25"/>
        <v>0</v>
      </c>
      <c r="U58" s="102">
        <f t="shared" si="25"/>
        <v>0</v>
      </c>
      <c r="V58" s="102">
        <f t="shared" si="25"/>
        <v>0</v>
      </c>
      <c r="W58" s="102">
        <f t="shared" si="25"/>
        <v>0</v>
      </c>
    </row>
    <row r="59" spans="2:23">
      <c r="B59" s="228" t="s">
        <v>63</v>
      </c>
      <c r="C59" s="229" t="s">
        <v>109</v>
      </c>
      <c r="D59" s="227" t="s">
        <v>59</v>
      </c>
      <c r="E59" s="167">
        <v>0</v>
      </c>
      <c r="F59" s="215">
        <v>0</v>
      </c>
      <c r="G59" s="102">
        <f t="shared" si="15"/>
        <v>0</v>
      </c>
      <c r="H59" s="102">
        <f t="shared" si="25"/>
        <v>0</v>
      </c>
      <c r="I59" s="102">
        <f t="shared" si="25"/>
        <v>0</v>
      </c>
      <c r="J59" s="102">
        <f t="shared" si="25"/>
        <v>0</v>
      </c>
      <c r="K59" s="102">
        <f t="shared" si="25"/>
        <v>0</v>
      </c>
      <c r="L59" s="102">
        <f t="shared" si="25"/>
        <v>0</v>
      </c>
      <c r="M59" s="102">
        <f t="shared" si="25"/>
        <v>0</v>
      </c>
      <c r="N59" s="102">
        <f t="shared" si="25"/>
        <v>0</v>
      </c>
      <c r="O59" s="102">
        <f t="shared" si="25"/>
        <v>0</v>
      </c>
      <c r="P59" s="102">
        <f t="shared" si="25"/>
        <v>0</v>
      </c>
      <c r="Q59" s="102">
        <f t="shared" si="25"/>
        <v>0</v>
      </c>
      <c r="R59" s="102">
        <f t="shared" si="25"/>
        <v>0</v>
      </c>
      <c r="S59" s="102">
        <f t="shared" si="25"/>
        <v>0</v>
      </c>
      <c r="T59" s="102">
        <f t="shared" si="25"/>
        <v>0</v>
      </c>
      <c r="U59" s="102">
        <f t="shared" si="25"/>
        <v>0</v>
      </c>
      <c r="V59" s="102">
        <f t="shared" si="25"/>
        <v>0</v>
      </c>
      <c r="W59" s="102">
        <f t="shared" si="25"/>
        <v>0</v>
      </c>
    </row>
    <row r="60" spans="2:23">
      <c r="B60" s="228" t="s">
        <v>65</v>
      </c>
      <c r="C60" s="229" t="s">
        <v>104</v>
      </c>
      <c r="D60" s="227" t="s">
        <v>59</v>
      </c>
      <c r="E60" s="167">
        <v>0</v>
      </c>
      <c r="F60" s="215">
        <v>0</v>
      </c>
      <c r="G60" s="102">
        <f t="shared" si="15"/>
        <v>0</v>
      </c>
      <c r="H60" s="102">
        <f t="shared" si="25"/>
        <v>0</v>
      </c>
      <c r="I60" s="102">
        <f t="shared" si="25"/>
        <v>0</v>
      </c>
      <c r="J60" s="102">
        <f t="shared" si="25"/>
        <v>0</v>
      </c>
      <c r="K60" s="102">
        <f t="shared" si="25"/>
        <v>0</v>
      </c>
      <c r="L60" s="102">
        <f t="shared" si="25"/>
        <v>0</v>
      </c>
      <c r="M60" s="102">
        <f t="shared" si="25"/>
        <v>0</v>
      </c>
      <c r="N60" s="102">
        <f t="shared" si="25"/>
        <v>0</v>
      </c>
      <c r="O60" s="102">
        <f t="shared" si="25"/>
        <v>0</v>
      </c>
      <c r="P60" s="102">
        <f t="shared" si="25"/>
        <v>0</v>
      </c>
      <c r="Q60" s="102">
        <f t="shared" si="25"/>
        <v>0</v>
      </c>
      <c r="R60" s="102">
        <f t="shared" si="25"/>
        <v>0</v>
      </c>
      <c r="S60" s="102">
        <f t="shared" si="25"/>
        <v>0</v>
      </c>
      <c r="T60" s="102">
        <f t="shared" si="25"/>
        <v>0</v>
      </c>
      <c r="U60" s="102">
        <f t="shared" si="25"/>
        <v>0</v>
      </c>
      <c r="V60" s="102">
        <f t="shared" si="25"/>
        <v>0</v>
      </c>
      <c r="W60" s="102">
        <f t="shared" si="25"/>
        <v>0</v>
      </c>
    </row>
    <row r="61" spans="2:23">
      <c r="B61" s="228" t="s">
        <v>67</v>
      </c>
      <c r="C61" s="229" t="s">
        <v>105</v>
      </c>
      <c r="D61" s="227" t="s">
        <v>59</v>
      </c>
      <c r="E61" s="167">
        <v>0</v>
      </c>
      <c r="F61" s="183">
        <v>0</v>
      </c>
      <c r="G61" s="102">
        <f t="shared" si="15"/>
        <v>0</v>
      </c>
      <c r="H61" s="102">
        <f t="shared" si="25"/>
        <v>0</v>
      </c>
      <c r="I61" s="102">
        <f t="shared" si="25"/>
        <v>0</v>
      </c>
      <c r="J61" s="102">
        <f t="shared" si="25"/>
        <v>0</v>
      </c>
      <c r="K61" s="102">
        <f t="shared" si="25"/>
        <v>0</v>
      </c>
      <c r="L61" s="102">
        <f t="shared" si="25"/>
        <v>0</v>
      </c>
      <c r="M61" s="102">
        <f t="shared" si="25"/>
        <v>0</v>
      </c>
      <c r="N61" s="102">
        <f t="shared" si="25"/>
        <v>0</v>
      </c>
      <c r="O61" s="102">
        <f t="shared" si="25"/>
        <v>0</v>
      </c>
      <c r="P61" s="102">
        <f t="shared" si="25"/>
        <v>0</v>
      </c>
      <c r="Q61" s="102">
        <f t="shared" si="25"/>
        <v>0</v>
      </c>
      <c r="R61" s="102">
        <f t="shared" si="25"/>
        <v>0</v>
      </c>
      <c r="S61" s="102">
        <f t="shared" si="25"/>
        <v>0</v>
      </c>
      <c r="T61" s="102">
        <f t="shared" si="25"/>
        <v>0</v>
      </c>
      <c r="U61" s="102">
        <f t="shared" si="25"/>
        <v>0</v>
      </c>
      <c r="V61" s="102">
        <f t="shared" si="25"/>
        <v>0</v>
      </c>
      <c r="W61" s="102">
        <f t="shared" si="25"/>
        <v>0</v>
      </c>
    </row>
    <row r="62" spans="2:23">
      <c r="B62" s="225" t="s">
        <v>61</v>
      </c>
      <c r="C62" s="226" t="s">
        <v>110</v>
      </c>
      <c r="D62" s="227" t="s">
        <v>59</v>
      </c>
      <c r="E62" s="166">
        <f>E47+E48-E56</f>
        <v>21385.230000000061</v>
      </c>
      <c r="F62" s="166">
        <f>F47+F48-F56</f>
        <v>53858.100000000268</v>
      </c>
      <c r="G62" s="166">
        <f>G47+G48-G56</f>
        <v>101993.85699999979</v>
      </c>
      <c r="H62" s="166">
        <f>H47+H48-H56</f>
        <v>88818.789604016289</v>
      </c>
      <c r="I62" s="166">
        <f t="shared" ref="I62:W62" si="26">I47+I48-I56</f>
        <v>173656.43959383862</v>
      </c>
      <c r="J62" s="166">
        <f t="shared" si="26"/>
        <v>221300.82680703016</v>
      </c>
      <c r="K62" s="166">
        <f t="shared" si="26"/>
        <v>269379.35511920677</v>
      </c>
      <c r="L62" s="166">
        <f t="shared" si="26"/>
        <v>318011.13549840054</v>
      </c>
      <c r="M62" s="166">
        <f t="shared" si="26"/>
        <v>367316.36426539323</v>
      </c>
      <c r="N62" s="166">
        <f t="shared" si="26"/>
        <v>417416.6208711323</v>
      </c>
      <c r="O62" s="166">
        <f t="shared" si="26"/>
        <v>468435.16838753305</v>
      </c>
      <c r="P62" s="166">
        <f t="shared" si="26"/>
        <v>520497.25745611131</v>
      </c>
      <c r="Q62" s="166">
        <f t="shared" si="26"/>
        <v>573730.43444565986</v>
      </c>
      <c r="R62" s="166">
        <f t="shared" si="26"/>
        <v>628264.85457884916</v>
      </c>
      <c r="S62" s="166">
        <f t="shared" si="26"/>
        <v>684233.60079815087</v>
      </c>
      <c r="T62" s="166">
        <f t="shared" si="26"/>
        <v>741773.00915390032</v>
      </c>
      <c r="U62" s="166">
        <f t="shared" si="26"/>
        <v>801023.00151164597</v>
      </c>
      <c r="V62" s="166">
        <f t="shared" si="26"/>
        <v>862127.42639227759</v>
      </c>
      <c r="W62" s="166">
        <f t="shared" si="26"/>
        <v>925234.40877668536</v>
      </c>
    </row>
    <row r="63" spans="2:23">
      <c r="B63" s="225" t="s">
        <v>111</v>
      </c>
      <c r="C63" s="226" t="s">
        <v>112</v>
      </c>
      <c r="D63" s="227" t="s">
        <v>59</v>
      </c>
      <c r="E63" s="166">
        <f>SUM(E64:E65)</f>
        <v>0</v>
      </c>
      <c r="F63" s="166">
        <f>SUM(F64:F65)</f>
        <v>0</v>
      </c>
      <c r="G63" s="166">
        <f>SUM(G64:G65)</f>
        <v>0</v>
      </c>
      <c r="H63" s="166">
        <f t="shared" ref="H63:W63" si="27">SUM(H64:H65)</f>
        <v>0</v>
      </c>
      <c r="I63" s="166">
        <f t="shared" si="27"/>
        <v>0</v>
      </c>
      <c r="J63" s="166">
        <f t="shared" si="27"/>
        <v>0</v>
      </c>
      <c r="K63" s="166">
        <f t="shared" si="27"/>
        <v>0</v>
      </c>
      <c r="L63" s="166">
        <f t="shared" si="27"/>
        <v>0</v>
      </c>
      <c r="M63" s="166">
        <f t="shared" si="27"/>
        <v>0</v>
      </c>
      <c r="N63" s="166">
        <f t="shared" si="27"/>
        <v>0</v>
      </c>
      <c r="O63" s="166">
        <f t="shared" si="27"/>
        <v>0</v>
      </c>
      <c r="P63" s="166">
        <f t="shared" si="27"/>
        <v>0</v>
      </c>
      <c r="Q63" s="166">
        <f t="shared" si="27"/>
        <v>0</v>
      </c>
      <c r="R63" s="166">
        <f t="shared" si="27"/>
        <v>0</v>
      </c>
      <c r="S63" s="166">
        <f t="shared" si="27"/>
        <v>0</v>
      </c>
      <c r="T63" s="166">
        <f t="shared" si="27"/>
        <v>0</v>
      </c>
      <c r="U63" s="166">
        <f t="shared" si="27"/>
        <v>0</v>
      </c>
      <c r="V63" s="166">
        <f t="shared" si="27"/>
        <v>0</v>
      </c>
      <c r="W63" s="166">
        <f t="shared" si="27"/>
        <v>0</v>
      </c>
    </row>
    <row r="64" spans="2:23">
      <c r="B64" s="228" t="s">
        <v>61</v>
      </c>
      <c r="C64" s="229" t="s">
        <v>113</v>
      </c>
      <c r="D64" s="227" t="s">
        <v>59</v>
      </c>
      <c r="E64" s="167">
        <v>0</v>
      </c>
      <c r="F64" s="167">
        <v>0</v>
      </c>
      <c r="G64" s="102">
        <f t="shared" si="15"/>
        <v>0</v>
      </c>
      <c r="H64" s="102">
        <f t="shared" si="25"/>
        <v>0</v>
      </c>
      <c r="I64" s="102">
        <f t="shared" si="25"/>
        <v>0</v>
      </c>
      <c r="J64" s="102">
        <f t="shared" si="25"/>
        <v>0</v>
      </c>
      <c r="K64" s="102">
        <f t="shared" si="25"/>
        <v>0</v>
      </c>
      <c r="L64" s="102">
        <f t="shared" si="25"/>
        <v>0</v>
      </c>
      <c r="M64" s="102">
        <f t="shared" si="25"/>
        <v>0</v>
      </c>
      <c r="N64" s="102">
        <f t="shared" si="25"/>
        <v>0</v>
      </c>
      <c r="O64" s="102">
        <f t="shared" si="25"/>
        <v>0</v>
      </c>
      <c r="P64" s="102">
        <f t="shared" si="25"/>
        <v>0</v>
      </c>
      <c r="Q64" s="102">
        <f t="shared" si="25"/>
        <v>0</v>
      </c>
      <c r="R64" s="102">
        <f t="shared" si="25"/>
        <v>0</v>
      </c>
      <c r="S64" s="102">
        <f t="shared" si="25"/>
        <v>0</v>
      </c>
      <c r="T64" s="102">
        <f t="shared" si="25"/>
        <v>0</v>
      </c>
      <c r="U64" s="102">
        <f t="shared" si="25"/>
        <v>0</v>
      </c>
      <c r="V64" s="102">
        <f t="shared" si="25"/>
        <v>0</v>
      </c>
      <c r="W64" s="102">
        <f t="shared" si="25"/>
        <v>0</v>
      </c>
    </row>
    <row r="65" spans="2:23">
      <c r="B65" s="228" t="s">
        <v>63</v>
      </c>
      <c r="C65" s="229" t="s">
        <v>114</v>
      </c>
      <c r="D65" s="227" t="s">
        <v>59</v>
      </c>
      <c r="E65" s="167">
        <v>0</v>
      </c>
      <c r="F65" s="167">
        <v>0</v>
      </c>
      <c r="G65" s="102">
        <f t="shared" si="15"/>
        <v>0</v>
      </c>
      <c r="H65" s="102">
        <f t="shared" si="25"/>
        <v>0</v>
      </c>
      <c r="I65" s="102">
        <f t="shared" si="25"/>
        <v>0</v>
      </c>
      <c r="J65" s="102">
        <f t="shared" si="25"/>
        <v>0</v>
      </c>
      <c r="K65" s="102">
        <f t="shared" si="25"/>
        <v>0</v>
      </c>
      <c r="L65" s="102">
        <f t="shared" si="25"/>
        <v>0</v>
      </c>
      <c r="M65" s="102">
        <f t="shared" si="25"/>
        <v>0</v>
      </c>
      <c r="N65" s="102">
        <f t="shared" si="25"/>
        <v>0</v>
      </c>
      <c r="O65" s="102">
        <f t="shared" si="25"/>
        <v>0</v>
      </c>
      <c r="P65" s="102">
        <f t="shared" si="25"/>
        <v>0</v>
      </c>
      <c r="Q65" s="102">
        <f t="shared" si="25"/>
        <v>0</v>
      </c>
      <c r="R65" s="102">
        <f t="shared" si="25"/>
        <v>0</v>
      </c>
      <c r="S65" s="102">
        <f t="shared" si="25"/>
        <v>0</v>
      </c>
      <c r="T65" s="102">
        <f t="shared" si="25"/>
        <v>0</v>
      </c>
      <c r="U65" s="102">
        <f t="shared" si="25"/>
        <v>0</v>
      </c>
      <c r="V65" s="102">
        <f t="shared" si="25"/>
        <v>0</v>
      </c>
      <c r="W65" s="102">
        <f t="shared" si="25"/>
        <v>0</v>
      </c>
    </row>
    <row r="66" spans="2:23">
      <c r="B66" s="225" t="s">
        <v>115</v>
      </c>
      <c r="C66" s="231" t="s">
        <v>116</v>
      </c>
      <c r="D66" s="227" t="s">
        <v>59</v>
      </c>
      <c r="E66" s="166">
        <f>E62+E63</f>
        <v>21385.230000000061</v>
      </c>
      <c r="F66" s="166">
        <f>F62+F63</f>
        <v>53858.100000000268</v>
      </c>
      <c r="G66" s="166">
        <f>G62+G63</f>
        <v>101993.85699999979</v>
      </c>
      <c r="H66" s="166">
        <f t="shared" ref="H66:W66" si="28">H62+H63</f>
        <v>88818.789604016289</v>
      </c>
      <c r="I66" s="166">
        <f t="shared" si="28"/>
        <v>173656.43959383862</v>
      </c>
      <c r="J66" s="166">
        <f t="shared" si="28"/>
        <v>221300.82680703016</v>
      </c>
      <c r="K66" s="166">
        <f t="shared" si="28"/>
        <v>269379.35511920677</v>
      </c>
      <c r="L66" s="166">
        <f t="shared" si="28"/>
        <v>318011.13549840054</v>
      </c>
      <c r="M66" s="166">
        <f t="shared" si="28"/>
        <v>367316.36426539323</v>
      </c>
      <c r="N66" s="166">
        <f t="shared" si="28"/>
        <v>417416.6208711323</v>
      </c>
      <c r="O66" s="166">
        <f t="shared" si="28"/>
        <v>468435.16838753305</v>
      </c>
      <c r="P66" s="166">
        <f t="shared" si="28"/>
        <v>520497.25745611131</v>
      </c>
      <c r="Q66" s="166">
        <f t="shared" si="28"/>
        <v>573730.43444565986</v>
      </c>
      <c r="R66" s="166">
        <f t="shared" si="28"/>
        <v>628264.85457884916</v>
      </c>
      <c r="S66" s="166">
        <f t="shared" si="28"/>
        <v>684233.60079815087</v>
      </c>
      <c r="T66" s="166">
        <f t="shared" si="28"/>
        <v>741773.00915390032</v>
      </c>
      <c r="U66" s="166">
        <f t="shared" si="28"/>
        <v>801023.00151164597</v>
      </c>
      <c r="V66" s="166">
        <f t="shared" si="28"/>
        <v>862127.42639227759</v>
      </c>
      <c r="W66" s="166">
        <f t="shared" si="28"/>
        <v>925234.40877668536</v>
      </c>
    </row>
    <row r="67" spans="2:23">
      <c r="B67" s="225" t="s">
        <v>117</v>
      </c>
      <c r="C67" s="231" t="s">
        <v>118</v>
      </c>
      <c r="D67" s="227" t="s">
        <v>59</v>
      </c>
      <c r="E67" s="166">
        <v>4327</v>
      </c>
      <c r="F67" s="183">
        <v>16766</v>
      </c>
      <c r="G67" s="102">
        <f>G66*0.19</f>
        <v>19378.832829999959</v>
      </c>
      <c r="H67" s="102">
        <f t="shared" ref="H67:W67" si="29">H66*0.19</f>
        <v>16875.570024763096</v>
      </c>
      <c r="I67" s="102">
        <f t="shared" si="29"/>
        <v>32994.723522829336</v>
      </c>
      <c r="J67" s="102">
        <f t="shared" si="29"/>
        <v>42047.157093335729</v>
      </c>
      <c r="K67" s="102">
        <f t="shared" si="29"/>
        <v>51182.077472649289</v>
      </c>
      <c r="L67" s="102">
        <f t="shared" si="29"/>
        <v>60422.115744696101</v>
      </c>
      <c r="M67" s="102">
        <f t="shared" si="29"/>
        <v>69790.109210424722</v>
      </c>
      <c r="N67" s="102">
        <f t="shared" si="29"/>
        <v>79309.157965515144</v>
      </c>
      <c r="O67" s="102">
        <f t="shared" si="29"/>
        <v>89002.681993631282</v>
      </c>
      <c r="P67" s="102">
        <f t="shared" si="29"/>
        <v>98894.478916661144</v>
      </c>
      <c r="Q67" s="102">
        <f t="shared" si="29"/>
        <v>109008.78254467537</v>
      </c>
      <c r="R67" s="102">
        <f t="shared" si="29"/>
        <v>119370.32236998134</v>
      </c>
      <c r="S67" s="102">
        <f t="shared" si="29"/>
        <v>130004.38415164867</v>
      </c>
      <c r="T67" s="102">
        <f t="shared" si="29"/>
        <v>140936.87173924106</v>
      </c>
      <c r="U67" s="102">
        <f t="shared" si="29"/>
        <v>152194.37028721275</v>
      </c>
      <c r="V67" s="102">
        <f t="shared" si="29"/>
        <v>163804.21101453275</v>
      </c>
      <c r="W67" s="102">
        <f t="shared" si="29"/>
        <v>175794.53766757023</v>
      </c>
    </row>
    <row r="68" spans="2:23" ht="24.75">
      <c r="B68" s="225" t="s">
        <v>119</v>
      </c>
      <c r="C68" s="226" t="s">
        <v>120</v>
      </c>
      <c r="D68" s="227" t="s">
        <v>59</v>
      </c>
      <c r="E68" s="166">
        <v>0</v>
      </c>
      <c r="F68" s="166">
        <v>0</v>
      </c>
      <c r="G68" s="102">
        <f t="shared" si="15"/>
        <v>0</v>
      </c>
      <c r="H68" s="102">
        <f t="shared" si="25"/>
        <v>0</v>
      </c>
      <c r="I68" s="102">
        <f t="shared" si="25"/>
        <v>0</v>
      </c>
      <c r="J68" s="102">
        <f t="shared" si="25"/>
        <v>0</v>
      </c>
      <c r="K68" s="102">
        <f t="shared" si="25"/>
        <v>0</v>
      </c>
      <c r="L68" s="102">
        <f t="shared" si="25"/>
        <v>0</v>
      </c>
      <c r="M68" s="102">
        <f t="shared" si="25"/>
        <v>0</v>
      </c>
      <c r="N68" s="102">
        <f t="shared" si="25"/>
        <v>0</v>
      </c>
      <c r="O68" s="102">
        <f t="shared" si="25"/>
        <v>0</v>
      </c>
      <c r="P68" s="102">
        <f t="shared" si="25"/>
        <v>0</v>
      </c>
      <c r="Q68" s="102">
        <f t="shared" si="25"/>
        <v>0</v>
      </c>
      <c r="R68" s="102">
        <f t="shared" si="25"/>
        <v>0</v>
      </c>
      <c r="S68" s="102">
        <f t="shared" si="25"/>
        <v>0</v>
      </c>
      <c r="T68" s="102">
        <f t="shared" si="25"/>
        <v>0</v>
      </c>
      <c r="U68" s="102">
        <f t="shared" si="25"/>
        <v>0</v>
      </c>
      <c r="V68" s="102">
        <f t="shared" si="25"/>
        <v>0</v>
      </c>
      <c r="W68" s="102">
        <f t="shared" si="25"/>
        <v>0</v>
      </c>
    </row>
    <row r="69" spans="2:23">
      <c r="B69" s="225" t="s">
        <v>121</v>
      </c>
      <c r="C69" s="231" t="s">
        <v>122</v>
      </c>
      <c r="D69" s="227" t="s">
        <v>59</v>
      </c>
      <c r="E69" s="166">
        <f>E66-E67</f>
        <v>17058.230000000061</v>
      </c>
      <c r="F69" s="166">
        <f>F66-F67</f>
        <v>37092.100000000268</v>
      </c>
      <c r="G69" s="166">
        <f>G66-G67</f>
        <v>82615.02416999983</v>
      </c>
      <c r="H69" s="166">
        <f t="shared" ref="H69:W69" si="30">H66-H67</f>
        <v>71943.2195792532</v>
      </c>
      <c r="I69" s="166">
        <f t="shared" si="30"/>
        <v>140661.71607100929</v>
      </c>
      <c r="J69" s="166">
        <f t="shared" si="30"/>
        <v>179253.66971369443</v>
      </c>
      <c r="K69" s="166">
        <f t="shared" si="30"/>
        <v>218197.27764655749</v>
      </c>
      <c r="L69" s="166">
        <f t="shared" si="30"/>
        <v>257589.01975370443</v>
      </c>
      <c r="M69" s="166">
        <f t="shared" si="30"/>
        <v>297526.25505496853</v>
      </c>
      <c r="N69" s="166">
        <f t="shared" si="30"/>
        <v>338107.46290561714</v>
      </c>
      <c r="O69" s="166">
        <f t="shared" si="30"/>
        <v>379432.48639390175</v>
      </c>
      <c r="P69" s="166">
        <f t="shared" si="30"/>
        <v>421602.77853945014</v>
      </c>
      <c r="Q69" s="166">
        <f t="shared" si="30"/>
        <v>464721.65190098446</v>
      </c>
      <c r="R69" s="166">
        <f t="shared" si="30"/>
        <v>508894.53220886784</v>
      </c>
      <c r="S69" s="166">
        <f t="shared" si="30"/>
        <v>554229.21664650226</v>
      </c>
      <c r="T69" s="166">
        <f t="shared" si="30"/>
        <v>600836.13741465926</v>
      </c>
      <c r="U69" s="166">
        <f t="shared" si="30"/>
        <v>648828.63122443319</v>
      </c>
      <c r="V69" s="166">
        <f t="shared" si="30"/>
        <v>698323.21537774487</v>
      </c>
      <c r="W69" s="166">
        <f t="shared" si="30"/>
        <v>749439.87110911519</v>
      </c>
    </row>
    <row r="71" spans="2:23">
      <c r="C71" s="234" t="s">
        <v>241</v>
      </c>
    </row>
    <row r="73" spans="2:23">
      <c r="B73" s="128" t="s">
        <v>54</v>
      </c>
      <c r="C73" s="128" t="s">
        <v>55</v>
      </c>
      <c r="D73" s="129" t="s">
        <v>56</v>
      </c>
      <c r="E73" s="113">
        <v>2012</v>
      </c>
      <c r="F73" s="113">
        <v>2013</v>
      </c>
    </row>
    <row r="74" spans="2:23">
      <c r="B74" s="129" t="s">
        <v>57</v>
      </c>
      <c r="C74" s="130" t="s">
        <v>127</v>
      </c>
      <c r="D74" s="131" t="s">
        <v>59</v>
      </c>
      <c r="E74" s="132">
        <f>E75+E76+E85+E86+E87</f>
        <v>7887000</v>
      </c>
      <c r="F74" s="132">
        <f>F75+F76+F85+F86+F87</f>
        <v>8113000</v>
      </c>
    </row>
    <row r="75" spans="2:23">
      <c r="B75" s="133" t="s">
        <v>61</v>
      </c>
      <c r="C75" s="134" t="s">
        <v>128</v>
      </c>
      <c r="D75" s="131" t="s">
        <v>59</v>
      </c>
      <c r="E75" s="135">
        <v>38000</v>
      </c>
      <c r="F75" s="135">
        <v>5000</v>
      </c>
    </row>
    <row r="76" spans="2:23">
      <c r="B76" s="133" t="s">
        <v>63</v>
      </c>
      <c r="C76" s="134" t="s">
        <v>129</v>
      </c>
      <c r="D76" s="131" t="s">
        <v>59</v>
      </c>
      <c r="E76" s="135">
        <f>E77+E83+E84</f>
        <v>7849000</v>
      </c>
      <c r="F76" s="135">
        <f>F77+F83+F84</f>
        <v>8108000</v>
      </c>
    </row>
    <row r="77" spans="2:23">
      <c r="B77" s="133" t="s">
        <v>130</v>
      </c>
      <c r="C77" s="134" t="s">
        <v>131</v>
      </c>
      <c r="D77" s="131" t="s">
        <v>59</v>
      </c>
      <c r="E77" s="135">
        <f>SUM(E78:E82)</f>
        <v>7848000</v>
      </c>
      <c r="F77" s="135">
        <f>SUM(F78:F82)</f>
        <v>7501000</v>
      </c>
    </row>
    <row r="78" spans="2:23">
      <c r="B78" s="133"/>
      <c r="C78" s="134" t="s">
        <v>132</v>
      </c>
      <c r="D78" s="131" t="s">
        <v>59</v>
      </c>
      <c r="E78" s="135">
        <v>51000</v>
      </c>
      <c r="F78" s="135">
        <v>51000</v>
      </c>
    </row>
    <row r="79" spans="2:23">
      <c r="B79" s="133"/>
      <c r="C79" s="134" t="s">
        <v>133</v>
      </c>
      <c r="D79" s="131" t="s">
        <v>59</v>
      </c>
      <c r="E79" s="135">
        <v>7529000</v>
      </c>
      <c r="F79" s="136">
        <v>7185000</v>
      </c>
    </row>
    <row r="80" spans="2:23">
      <c r="B80" s="133"/>
      <c r="C80" s="134" t="s">
        <v>134</v>
      </c>
      <c r="D80" s="131" t="s">
        <v>59</v>
      </c>
      <c r="E80" s="135">
        <v>194000</v>
      </c>
      <c r="F80" s="136">
        <v>183000</v>
      </c>
    </row>
    <row r="81" spans="2:6">
      <c r="B81" s="133"/>
      <c r="C81" s="134" t="s">
        <v>135</v>
      </c>
      <c r="D81" s="131" t="s">
        <v>59</v>
      </c>
      <c r="E81" s="135">
        <v>74000</v>
      </c>
      <c r="F81" s="136">
        <v>42000</v>
      </c>
    </row>
    <row r="82" spans="2:6">
      <c r="B82" s="133"/>
      <c r="C82" s="134" t="s">
        <v>136</v>
      </c>
      <c r="D82" s="131" t="s">
        <v>59</v>
      </c>
      <c r="E82" s="135">
        <v>0</v>
      </c>
      <c r="F82" s="136">
        <v>40000</v>
      </c>
    </row>
    <row r="83" spans="2:6">
      <c r="B83" s="133" t="s">
        <v>137</v>
      </c>
      <c r="C83" s="134" t="s">
        <v>138</v>
      </c>
      <c r="D83" s="131" t="s">
        <v>59</v>
      </c>
      <c r="E83" s="135">
        <v>1000</v>
      </c>
      <c r="F83" s="136">
        <v>607000</v>
      </c>
    </row>
    <row r="84" spans="2:6">
      <c r="B84" s="133" t="s">
        <v>139</v>
      </c>
      <c r="C84" s="134" t="s">
        <v>140</v>
      </c>
      <c r="D84" s="131" t="s">
        <v>59</v>
      </c>
      <c r="E84" s="135">
        <v>0</v>
      </c>
      <c r="F84" s="136">
        <v>0</v>
      </c>
    </row>
    <row r="85" spans="2:6">
      <c r="B85" s="133" t="s">
        <v>65</v>
      </c>
      <c r="C85" s="134" t="s">
        <v>141</v>
      </c>
      <c r="D85" s="131" t="s">
        <v>59</v>
      </c>
      <c r="E85" s="135">
        <v>0</v>
      </c>
      <c r="F85" s="135">
        <v>0</v>
      </c>
    </row>
    <row r="86" spans="2:6">
      <c r="B86" s="133" t="s">
        <v>67</v>
      </c>
      <c r="C86" s="134" t="s">
        <v>142</v>
      </c>
      <c r="D86" s="131" t="s">
        <v>59</v>
      </c>
      <c r="E86" s="135">
        <v>0</v>
      </c>
      <c r="F86" s="135">
        <v>0</v>
      </c>
    </row>
    <row r="87" spans="2:6">
      <c r="B87" s="133" t="s">
        <v>77</v>
      </c>
      <c r="C87" s="134" t="s">
        <v>143</v>
      </c>
      <c r="D87" s="131" t="s">
        <v>59</v>
      </c>
      <c r="E87" s="135">
        <v>0</v>
      </c>
      <c r="F87" s="135">
        <v>0</v>
      </c>
    </row>
    <row r="88" spans="2:6">
      <c r="B88" s="129" t="s">
        <v>69</v>
      </c>
      <c r="C88" s="130" t="s">
        <v>144</v>
      </c>
      <c r="D88" s="131" t="s">
        <v>59</v>
      </c>
      <c r="E88" s="132">
        <f>E89+E90+E91+E92</f>
        <v>1580000</v>
      </c>
      <c r="F88" s="132">
        <f>F89+F90+F91+F92</f>
        <v>1557000</v>
      </c>
    </row>
    <row r="89" spans="2:6">
      <c r="B89" s="133" t="s">
        <v>61</v>
      </c>
      <c r="C89" s="137" t="s">
        <v>145</v>
      </c>
      <c r="D89" s="131" t="s">
        <v>59</v>
      </c>
      <c r="E89" s="135">
        <v>64000</v>
      </c>
      <c r="F89" s="135">
        <v>128000</v>
      </c>
    </row>
    <row r="90" spans="2:6">
      <c r="B90" s="133" t="s">
        <v>63</v>
      </c>
      <c r="C90" s="137" t="s">
        <v>146</v>
      </c>
      <c r="D90" s="131" t="s">
        <v>59</v>
      </c>
      <c r="E90" s="135">
        <v>481000</v>
      </c>
      <c r="F90" s="136">
        <v>597000</v>
      </c>
    </row>
    <row r="91" spans="2:6">
      <c r="B91" s="133" t="s">
        <v>65</v>
      </c>
      <c r="C91" s="137" t="s">
        <v>147</v>
      </c>
      <c r="D91" s="131" t="s">
        <v>59</v>
      </c>
      <c r="E91" s="135">
        <v>1023000</v>
      </c>
      <c r="F91" s="136">
        <v>824000</v>
      </c>
    </row>
    <row r="92" spans="2:6">
      <c r="B92" s="133" t="s">
        <v>67</v>
      </c>
      <c r="C92" s="137" t="s">
        <v>148</v>
      </c>
      <c r="D92" s="131" t="s">
        <v>59</v>
      </c>
      <c r="E92" s="138">
        <v>12000</v>
      </c>
      <c r="F92" s="139">
        <v>8000</v>
      </c>
    </row>
    <row r="93" spans="2:6">
      <c r="B93" s="129"/>
      <c r="C93" s="129" t="s">
        <v>149</v>
      </c>
      <c r="D93" s="131" t="s">
        <v>59</v>
      </c>
      <c r="E93" s="132">
        <f>E74+E88</f>
        <v>9467000</v>
      </c>
      <c r="F93" s="132">
        <f>F74+F88</f>
        <v>9670000</v>
      </c>
    </row>
    <row r="95" spans="2:6">
      <c r="B95" s="210" t="s">
        <v>150</v>
      </c>
      <c r="C95" s="211"/>
      <c r="D95" s="211"/>
      <c r="E95" s="211"/>
      <c r="F95" s="211"/>
    </row>
    <row r="96" spans="2:6">
      <c r="B96" s="140" t="s">
        <v>54</v>
      </c>
      <c r="C96" s="140" t="s">
        <v>55</v>
      </c>
      <c r="D96" s="141" t="s">
        <v>56</v>
      </c>
      <c r="E96" s="110">
        <v>2012</v>
      </c>
      <c r="F96" s="112">
        <v>2013</v>
      </c>
    </row>
    <row r="97" spans="2:6">
      <c r="B97" s="129" t="s">
        <v>57</v>
      </c>
      <c r="C97" s="142" t="s">
        <v>151</v>
      </c>
      <c r="D97" s="131" t="s">
        <v>59</v>
      </c>
      <c r="E97" s="132">
        <f>SUM(E98:E106)</f>
        <v>1920000</v>
      </c>
      <c r="F97" s="143">
        <f>SUM(F98:F106)</f>
        <v>1942000</v>
      </c>
    </row>
    <row r="98" spans="2:6">
      <c r="B98" s="133" t="s">
        <v>61</v>
      </c>
      <c r="C98" s="144" t="s">
        <v>152</v>
      </c>
      <c r="D98" s="131" t="s">
        <v>59</v>
      </c>
      <c r="E98" s="135">
        <v>1502000</v>
      </c>
      <c r="F98" s="136">
        <v>1502000</v>
      </c>
    </row>
    <row r="99" spans="2:6" ht="25.5">
      <c r="B99" s="133" t="s">
        <v>63</v>
      </c>
      <c r="C99" s="144" t="s">
        <v>153</v>
      </c>
      <c r="D99" s="131" t="s">
        <v>59</v>
      </c>
      <c r="E99" s="135">
        <v>0</v>
      </c>
      <c r="F99" s="136">
        <v>0</v>
      </c>
    </row>
    <row r="100" spans="2:6">
      <c r="B100" s="133" t="s">
        <v>65</v>
      </c>
      <c r="C100" s="144" t="s">
        <v>154</v>
      </c>
      <c r="D100" s="131" t="s">
        <v>59</v>
      </c>
      <c r="E100" s="135">
        <v>0</v>
      </c>
      <c r="F100" s="136">
        <v>0</v>
      </c>
    </row>
    <row r="101" spans="2:6">
      <c r="B101" s="133" t="s">
        <v>67</v>
      </c>
      <c r="C101" s="144" t="s">
        <v>155</v>
      </c>
      <c r="D101" s="131" t="s">
        <v>59</v>
      </c>
      <c r="E101" s="135">
        <v>112000</v>
      </c>
      <c r="F101" s="136">
        <v>152000</v>
      </c>
    </row>
    <row r="102" spans="2:6">
      <c r="B102" s="133" t="s">
        <v>77</v>
      </c>
      <c r="C102" s="144" t="s">
        <v>156</v>
      </c>
      <c r="D102" s="131" t="s">
        <v>59</v>
      </c>
      <c r="E102" s="135">
        <v>100000</v>
      </c>
      <c r="F102" s="136">
        <v>100000</v>
      </c>
    </row>
    <row r="103" spans="2:6">
      <c r="B103" s="133" t="s">
        <v>79</v>
      </c>
      <c r="C103" s="144" t="s">
        <v>157</v>
      </c>
      <c r="D103" s="131" t="s">
        <v>59</v>
      </c>
      <c r="E103" s="135">
        <v>151000</v>
      </c>
      <c r="F103" s="136">
        <v>151000</v>
      </c>
    </row>
    <row r="104" spans="2:6">
      <c r="B104" s="133" t="s">
        <v>81</v>
      </c>
      <c r="C104" s="144" t="s">
        <v>158</v>
      </c>
      <c r="D104" s="131" t="s">
        <v>59</v>
      </c>
      <c r="E104" s="135">
        <v>38000</v>
      </c>
      <c r="F104" s="136">
        <v>0</v>
      </c>
    </row>
    <row r="105" spans="2:6">
      <c r="B105" s="133" t="s">
        <v>83</v>
      </c>
      <c r="C105" s="144" t="s">
        <v>159</v>
      </c>
      <c r="D105" s="131" t="s">
        <v>59</v>
      </c>
      <c r="E105" s="135">
        <v>17000</v>
      </c>
      <c r="F105" s="136">
        <v>37000</v>
      </c>
    </row>
    <row r="106" spans="2:6" ht="25.5">
      <c r="B106" s="133" t="s">
        <v>160</v>
      </c>
      <c r="C106" s="144" t="s">
        <v>161</v>
      </c>
      <c r="D106" s="131" t="s">
        <v>59</v>
      </c>
      <c r="E106" s="135">
        <v>0</v>
      </c>
      <c r="F106" s="136">
        <v>0</v>
      </c>
    </row>
    <row r="107" spans="2:6">
      <c r="B107" s="129" t="s">
        <v>69</v>
      </c>
      <c r="C107" s="142" t="s">
        <v>162</v>
      </c>
      <c r="D107" s="131" t="s">
        <v>59</v>
      </c>
      <c r="E107" s="132">
        <f>E108+E109+E113+E124</f>
        <v>7547000</v>
      </c>
      <c r="F107" s="143">
        <f>F108+F109+F113+F124</f>
        <v>7728000</v>
      </c>
    </row>
    <row r="108" spans="2:6">
      <c r="B108" s="133" t="s">
        <v>61</v>
      </c>
      <c r="C108" s="144" t="s">
        <v>163</v>
      </c>
      <c r="D108" s="131" t="s">
        <v>59</v>
      </c>
      <c r="E108" s="135">
        <v>0</v>
      </c>
      <c r="F108" s="136">
        <v>0</v>
      </c>
    </row>
    <row r="109" spans="2:6">
      <c r="B109" s="133" t="s">
        <v>63</v>
      </c>
      <c r="C109" s="144" t="s">
        <v>164</v>
      </c>
      <c r="D109" s="131" t="s">
        <v>59</v>
      </c>
      <c r="E109" s="135">
        <f>E110+E111</f>
        <v>2655000</v>
      </c>
      <c r="F109" s="136">
        <f>F111+F110</f>
        <v>2589000</v>
      </c>
    </row>
    <row r="110" spans="2:6">
      <c r="B110" s="133" t="s">
        <v>130</v>
      </c>
      <c r="C110" s="144" t="s">
        <v>165</v>
      </c>
      <c r="D110" s="131" t="s">
        <v>59</v>
      </c>
      <c r="E110" s="135">
        <v>0</v>
      </c>
      <c r="F110" s="136">
        <v>0</v>
      </c>
    </row>
    <row r="111" spans="2:6">
      <c r="B111" s="133" t="s">
        <v>137</v>
      </c>
      <c r="C111" s="144" t="s">
        <v>166</v>
      </c>
      <c r="D111" s="131" t="s">
        <v>59</v>
      </c>
      <c r="E111" s="135">
        <f>E112</f>
        <v>2655000</v>
      </c>
      <c r="F111" s="136">
        <f>F112</f>
        <v>2589000</v>
      </c>
    </row>
    <row r="112" spans="2:6">
      <c r="B112" s="133"/>
      <c r="C112" s="144" t="s">
        <v>167</v>
      </c>
      <c r="D112" s="131" t="s">
        <v>59</v>
      </c>
      <c r="E112" s="135">
        <v>2655000</v>
      </c>
      <c r="F112" s="136">
        <v>2589000</v>
      </c>
    </row>
    <row r="113" spans="2:6">
      <c r="B113" s="133" t="s">
        <v>65</v>
      </c>
      <c r="C113" s="144" t="s">
        <v>168</v>
      </c>
      <c r="D113" s="131" t="s">
        <v>59</v>
      </c>
      <c r="E113" s="135">
        <f>E114+E115+E123</f>
        <v>299000</v>
      </c>
      <c r="F113" s="136">
        <f>F114+F115+F123</f>
        <v>982000</v>
      </c>
    </row>
    <row r="114" spans="2:6">
      <c r="B114" s="133" t="s">
        <v>130</v>
      </c>
      <c r="C114" s="144" t="s">
        <v>165</v>
      </c>
      <c r="D114" s="131" t="s">
        <v>59</v>
      </c>
      <c r="E114" s="135">
        <v>0</v>
      </c>
      <c r="F114" s="136">
        <v>0</v>
      </c>
    </row>
    <row r="115" spans="2:6">
      <c r="B115" s="133" t="s">
        <v>137</v>
      </c>
      <c r="C115" s="144" t="s">
        <v>166</v>
      </c>
      <c r="D115" s="131" t="s">
        <v>59</v>
      </c>
      <c r="E115" s="135">
        <f>SUM(E116:E122)</f>
        <v>296000</v>
      </c>
      <c r="F115" s="136">
        <f>SUM(F116:F122)</f>
        <v>975000</v>
      </c>
    </row>
    <row r="116" spans="2:6">
      <c r="B116" s="133"/>
      <c r="C116" s="144" t="s">
        <v>167</v>
      </c>
      <c r="D116" s="131" t="s">
        <v>59</v>
      </c>
      <c r="E116" s="135">
        <v>0</v>
      </c>
      <c r="F116" s="136">
        <v>0</v>
      </c>
    </row>
    <row r="117" spans="2:6">
      <c r="B117" s="133"/>
      <c r="C117" s="144" t="s">
        <v>169</v>
      </c>
      <c r="D117" s="131" t="s">
        <v>59</v>
      </c>
      <c r="E117" s="135">
        <v>42000</v>
      </c>
      <c r="F117" s="136">
        <v>152000</v>
      </c>
    </row>
    <row r="118" spans="2:6">
      <c r="B118" s="133"/>
      <c r="C118" s="144" t="s">
        <v>170</v>
      </c>
      <c r="D118" s="131" t="s">
        <v>59</v>
      </c>
      <c r="E118" s="135">
        <v>0</v>
      </c>
      <c r="F118" s="136">
        <v>0</v>
      </c>
    </row>
    <row r="119" spans="2:6">
      <c r="B119" s="133"/>
      <c r="C119" s="144" t="s">
        <v>171</v>
      </c>
      <c r="D119" s="131" t="s">
        <v>59</v>
      </c>
      <c r="E119" s="135">
        <v>0</v>
      </c>
      <c r="F119" s="136">
        <v>0</v>
      </c>
    </row>
    <row r="120" spans="2:6" ht="25.5">
      <c r="B120" s="133"/>
      <c r="C120" s="144" t="s">
        <v>172</v>
      </c>
      <c r="D120" s="131" t="s">
        <v>59</v>
      </c>
      <c r="E120" s="135">
        <v>254000</v>
      </c>
      <c r="F120" s="136">
        <v>553000</v>
      </c>
    </row>
    <row r="121" spans="2:6">
      <c r="B121" s="133"/>
      <c r="C121" s="144" t="s">
        <v>173</v>
      </c>
      <c r="D121" s="131" t="s">
        <v>59</v>
      </c>
      <c r="E121" s="135">
        <v>0</v>
      </c>
      <c r="F121" s="136">
        <v>0</v>
      </c>
    </row>
    <row r="122" spans="2:6">
      <c r="B122" s="133"/>
      <c r="C122" s="144" t="s">
        <v>174</v>
      </c>
      <c r="D122" s="131" t="s">
        <v>59</v>
      </c>
      <c r="E122" s="135">
        <v>0</v>
      </c>
      <c r="F122" s="136">
        <v>270000</v>
      </c>
    </row>
    <row r="123" spans="2:6">
      <c r="B123" s="133" t="s">
        <v>139</v>
      </c>
      <c r="C123" s="144" t="s">
        <v>175</v>
      </c>
      <c r="D123" s="131" t="s">
        <v>59</v>
      </c>
      <c r="E123" s="135">
        <v>3000</v>
      </c>
      <c r="F123" s="136">
        <v>7000</v>
      </c>
    </row>
    <row r="124" spans="2:6">
      <c r="B124" s="133" t="s">
        <v>67</v>
      </c>
      <c r="C124" s="144" t="s">
        <v>176</v>
      </c>
      <c r="D124" s="131" t="s">
        <v>59</v>
      </c>
      <c r="E124" s="135">
        <v>4593000</v>
      </c>
      <c r="F124" s="136">
        <v>4157000</v>
      </c>
    </row>
    <row r="125" spans="2:6">
      <c r="B125" s="129"/>
      <c r="C125" s="129" t="s">
        <v>177</v>
      </c>
      <c r="D125" s="131" t="s">
        <v>59</v>
      </c>
      <c r="E125" s="143">
        <f>E97+E107</f>
        <v>9467000</v>
      </c>
      <c r="F125" s="143">
        <f>F97+F107</f>
        <v>9670000</v>
      </c>
    </row>
    <row r="126" spans="2:6">
      <c r="C126" s="191"/>
      <c r="D126" s="194"/>
      <c r="E126" s="172"/>
      <c r="F126" s="192"/>
    </row>
    <row r="127" spans="2:6">
      <c r="C127" s="191"/>
      <c r="D127" s="194"/>
      <c r="E127" s="172"/>
      <c r="F127" s="192"/>
    </row>
    <row r="128" spans="2:6">
      <c r="B128" s="145"/>
      <c r="C128" s="146" t="s">
        <v>178</v>
      </c>
      <c r="D128" s="145"/>
      <c r="E128" s="145"/>
      <c r="F128" s="145"/>
    </row>
    <row r="129" spans="2:6">
      <c r="B129" s="145"/>
      <c r="C129" s="146"/>
      <c r="D129" s="145"/>
      <c r="E129" s="145"/>
      <c r="F129" s="145"/>
    </row>
    <row r="130" spans="2:6">
      <c r="B130" s="145"/>
      <c r="C130" s="146" t="s">
        <v>242</v>
      </c>
      <c r="D130" s="145"/>
      <c r="E130" s="145"/>
      <c r="F130" s="145"/>
    </row>
    <row r="131" spans="2:6">
      <c r="B131" s="147" t="s">
        <v>179</v>
      </c>
      <c r="C131" s="147" t="s">
        <v>55</v>
      </c>
      <c r="D131" s="438"/>
      <c r="E131" s="110">
        <v>2012</v>
      </c>
      <c r="F131" s="112">
        <v>2013</v>
      </c>
    </row>
    <row r="132" spans="2:6">
      <c r="B132" s="148" t="s">
        <v>61</v>
      </c>
      <c r="C132" s="149" t="s">
        <v>180</v>
      </c>
      <c r="D132" s="439"/>
      <c r="E132" s="150"/>
      <c r="F132" s="150"/>
    </row>
    <row r="133" spans="2:6">
      <c r="B133" s="151" t="s">
        <v>130</v>
      </c>
      <c r="C133" s="152" t="s">
        <v>181</v>
      </c>
      <c r="D133" s="439"/>
      <c r="E133" s="153">
        <f>E69/E22</f>
        <v>6.8744286750968935E-3</v>
      </c>
      <c r="F133" s="153">
        <f>F69/F22</f>
        <v>1.1798476996055376E-2</v>
      </c>
    </row>
    <row r="134" spans="2:6">
      <c r="B134" s="151" t="s">
        <v>137</v>
      </c>
      <c r="C134" s="154" t="s">
        <v>182</v>
      </c>
      <c r="D134" s="439"/>
      <c r="E134" s="153">
        <f>E69/E97</f>
        <v>8.8844947916666989E-3</v>
      </c>
      <c r="F134" s="153">
        <f>F69/F97</f>
        <v>1.9099948506694268E-2</v>
      </c>
    </row>
    <row r="135" spans="2:6">
      <c r="B135" s="151" t="s">
        <v>139</v>
      </c>
      <c r="C135" s="154" t="s">
        <v>183</v>
      </c>
      <c r="D135" s="439"/>
      <c r="E135" s="153">
        <f>E69/E93</f>
        <v>1.8018622583711905E-3</v>
      </c>
      <c r="F135" s="153">
        <f>F69/F93</f>
        <v>3.8357911065150224E-3</v>
      </c>
    </row>
    <row r="136" spans="2:6">
      <c r="B136" s="148" t="s">
        <v>63</v>
      </c>
      <c r="C136" s="149" t="s">
        <v>184</v>
      </c>
      <c r="D136" s="439"/>
      <c r="E136" s="155"/>
      <c r="F136" s="155"/>
    </row>
    <row r="137" spans="2:6">
      <c r="B137" s="151" t="s">
        <v>130</v>
      </c>
      <c r="C137" s="154" t="s">
        <v>185</v>
      </c>
      <c r="D137" s="439"/>
      <c r="E137" s="155">
        <f>E88/E113</f>
        <v>5.2842809364548495</v>
      </c>
      <c r="F137" s="155">
        <f>F88/F113</f>
        <v>1.5855397148676171</v>
      </c>
    </row>
    <row r="138" spans="2:6">
      <c r="B138" s="151" t="s">
        <v>137</v>
      </c>
      <c r="C138" s="154" t="s">
        <v>186</v>
      </c>
      <c r="D138" s="439"/>
      <c r="E138" s="155">
        <f>(E88-E89)/E113</f>
        <v>5.0702341137123748</v>
      </c>
      <c r="F138" s="155">
        <f>(F88-F89)/F113</f>
        <v>1.455193482688391</v>
      </c>
    </row>
    <row r="139" spans="2:6">
      <c r="B139" s="148" t="s">
        <v>65</v>
      </c>
      <c r="C139" s="149" t="s">
        <v>187</v>
      </c>
      <c r="D139" s="439"/>
      <c r="E139" s="155"/>
      <c r="F139" s="155"/>
    </row>
    <row r="140" spans="2:6">
      <c r="B140" s="151" t="s">
        <v>130</v>
      </c>
      <c r="C140" s="156" t="s">
        <v>188</v>
      </c>
      <c r="D140" s="439"/>
      <c r="E140" s="155">
        <f>E107/E93</f>
        <v>0.79719023978028947</v>
      </c>
      <c r="F140" s="155">
        <f>F107/F93</f>
        <v>0.79917269906928645</v>
      </c>
    </row>
    <row r="141" spans="2:6">
      <c r="B141" s="151" t="s">
        <v>137</v>
      </c>
      <c r="C141" s="156" t="s">
        <v>189</v>
      </c>
      <c r="D141" s="439"/>
      <c r="E141" s="155">
        <f>E107/E97</f>
        <v>3.9307291666666666</v>
      </c>
      <c r="F141" s="155">
        <f>F107/F97</f>
        <v>3.9794026776519051</v>
      </c>
    </row>
    <row r="142" spans="2:6">
      <c r="B142" s="148" t="s">
        <v>67</v>
      </c>
      <c r="C142" s="149" t="s">
        <v>190</v>
      </c>
      <c r="D142" s="439"/>
      <c r="E142" s="155"/>
      <c r="F142" s="155"/>
    </row>
    <row r="143" spans="2:6">
      <c r="B143" s="151" t="s">
        <v>130</v>
      </c>
      <c r="C143" s="156" t="s">
        <v>191</v>
      </c>
      <c r="D143" s="439"/>
      <c r="E143" s="155">
        <f>E89/E88</f>
        <v>4.0506329113924051E-2</v>
      </c>
      <c r="F143" s="155">
        <f>F89/F88</f>
        <v>8.2209377007064863E-2</v>
      </c>
    </row>
    <row r="144" spans="2:6">
      <c r="B144" s="151" t="s">
        <v>137</v>
      </c>
      <c r="C144" s="156" t="s">
        <v>192</v>
      </c>
      <c r="D144" s="439"/>
      <c r="E144" s="155">
        <f>E90/E88</f>
        <v>0.30443037974683546</v>
      </c>
      <c r="F144" s="155">
        <f>F90/F88</f>
        <v>0.38342967244701348</v>
      </c>
    </row>
    <row r="145" spans="2:23">
      <c r="B145" s="151" t="s">
        <v>139</v>
      </c>
      <c r="C145" s="156" t="s">
        <v>193</v>
      </c>
      <c r="D145" s="439"/>
      <c r="E145" s="155">
        <f>E91/E88</f>
        <v>0.64746835443037976</v>
      </c>
      <c r="F145" s="155">
        <f>F91/F88</f>
        <v>0.52922286448298006</v>
      </c>
    </row>
    <row r="146" spans="2:23">
      <c r="B146" s="157" t="s">
        <v>77</v>
      </c>
      <c r="C146" s="158" t="s">
        <v>194</v>
      </c>
      <c r="D146" s="201"/>
      <c r="E146" s="155"/>
      <c r="F146" s="155"/>
    </row>
    <row r="147" spans="2:23">
      <c r="B147" s="151" t="s">
        <v>130</v>
      </c>
      <c r="C147" s="156" t="s">
        <v>195</v>
      </c>
      <c r="D147" s="201"/>
      <c r="E147" s="160">
        <f>E89/(E22/365)</f>
        <v>9.4140279413668857</v>
      </c>
      <c r="F147" s="160">
        <f>F89/(F22/365)</f>
        <v>14.860977007387103</v>
      </c>
    </row>
    <row r="148" spans="2:23">
      <c r="B148" s="151" t="s">
        <v>137</v>
      </c>
      <c r="C148" s="156" t="s">
        <v>196</v>
      </c>
      <c r="D148" s="201"/>
      <c r="E148" s="160">
        <f>E90/(E22/365)</f>
        <v>70.752303746835494</v>
      </c>
      <c r="F148" s="160">
        <f>F90/(F22/365)</f>
        <v>69.31252557351641</v>
      </c>
    </row>
    <row r="149" spans="2:23">
      <c r="B149" s="151" t="s">
        <v>139</v>
      </c>
      <c r="C149" s="156" t="s">
        <v>197</v>
      </c>
      <c r="D149" s="201"/>
      <c r="E149" s="160">
        <f>E117/(E22/365)</f>
        <v>6.1779558365220186</v>
      </c>
      <c r="F149" s="160">
        <f>F117/(F22/365)</f>
        <v>17.647410196272183</v>
      </c>
    </row>
    <row r="152" spans="2:23">
      <c r="C152" s="149" t="s">
        <v>200</v>
      </c>
      <c r="D152" s="37"/>
      <c r="E152" s="113">
        <v>2012</v>
      </c>
      <c r="F152" s="113">
        <v>2013</v>
      </c>
      <c r="G152" s="37">
        <v>2014</v>
      </c>
      <c r="H152" s="164">
        <v>2015</v>
      </c>
      <c r="I152" s="164">
        <v>2016</v>
      </c>
      <c r="J152" s="164">
        <v>2017</v>
      </c>
      <c r="K152" s="164">
        <v>2018</v>
      </c>
      <c r="L152" s="164">
        <v>2019</v>
      </c>
      <c r="M152" s="164">
        <v>2020</v>
      </c>
      <c r="N152" s="164">
        <v>2021</v>
      </c>
      <c r="O152" s="164">
        <v>2022</v>
      </c>
      <c r="P152" s="164">
        <v>2023</v>
      </c>
      <c r="Q152" s="164">
        <v>2024</v>
      </c>
      <c r="R152" s="164">
        <v>2025</v>
      </c>
      <c r="S152" s="164">
        <v>2026</v>
      </c>
      <c r="T152" s="164">
        <v>2027</v>
      </c>
      <c r="U152" s="164">
        <v>2028</v>
      </c>
      <c r="V152" s="164">
        <v>2029</v>
      </c>
      <c r="W152" s="164">
        <v>2030</v>
      </c>
    </row>
    <row r="153" spans="2:23">
      <c r="C153" s="162" t="s">
        <v>206</v>
      </c>
      <c r="D153" s="37" t="s">
        <v>201</v>
      </c>
      <c r="E153" s="37"/>
      <c r="F153" s="37"/>
      <c r="G153" s="37"/>
      <c r="H153" s="37"/>
      <c r="I153" s="12">
        <v>4878.05</v>
      </c>
      <c r="J153" s="12">
        <v>4878.05</v>
      </c>
      <c r="K153" s="12">
        <v>4878.05</v>
      </c>
      <c r="L153" s="12">
        <v>4878.05</v>
      </c>
      <c r="M153" s="12">
        <v>4878.05</v>
      </c>
      <c r="N153" s="12">
        <v>4878.05</v>
      </c>
      <c r="O153" s="12">
        <v>4878.05</v>
      </c>
      <c r="P153" s="12">
        <v>4878.05</v>
      </c>
      <c r="Q153" s="12">
        <v>4878.05</v>
      </c>
      <c r="R153" s="12">
        <v>4878.05</v>
      </c>
      <c r="S153" s="12">
        <v>4878.05</v>
      </c>
      <c r="T153" s="12">
        <v>4878.05</v>
      </c>
      <c r="U153" s="12">
        <v>4878.05</v>
      </c>
      <c r="V153" s="12">
        <v>4878.05</v>
      </c>
      <c r="W153" s="12">
        <v>4878.05</v>
      </c>
    </row>
    <row r="154" spans="2:23">
      <c r="C154" s="162" t="s">
        <v>202</v>
      </c>
      <c r="D154" s="37"/>
      <c r="E154" s="37"/>
      <c r="F154" s="37"/>
      <c r="G154" s="37"/>
      <c r="H154" s="37"/>
      <c r="I154" s="12">
        <v>6000</v>
      </c>
      <c r="J154" s="12">
        <v>6000</v>
      </c>
      <c r="K154" s="12">
        <v>6000</v>
      </c>
      <c r="L154" s="12">
        <v>6000</v>
      </c>
      <c r="M154" s="12">
        <v>6000</v>
      </c>
      <c r="N154" s="12">
        <v>6000</v>
      </c>
      <c r="O154" s="12">
        <v>6000</v>
      </c>
      <c r="P154" s="12">
        <v>6000</v>
      </c>
      <c r="Q154" s="12">
        <v>6000</v>
      </c>
      <c r="R154" s="12">
        <v>6000</v>
      </c>
      <c r="S154" s="12">
        <v>6000</v>
      </c>
      <c r="T154" s="12">
        <v>6000</v>
      </c>
      <c r="U154" s="12">
        <v>6000</v>
      </c>
      <c r="V154" s="12">
        <v>6000</v>
      </c>
      <c r="W154" s="12">
        <v>6000</v>
      </c>
    </row>
  </sheetData>
  <mergeCells count="7">
    <mergeCell ref="D131:D145"/>
    <mergeCell ref="G20:W20"/>
    <mergeCell ref="D5:F5"/>
    <mergeCell ref="G5:I5"/>
    <mergeCell ref="J5:L5"/>
    <mergeCell ref="M5:N5"/>
    <mergeCell ref="E20:F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54"/>
  <sheetViews>
    <sheetView topLeftCell="E141" zoomScale="80" zoomScaleNormal="80" workbookViewId="0">
      <selection activeCell="P14" sqref="P14"/>
    </sheetView>
  </sheetViews>
  <sheetFormatPr defaultRowHeight="15"/>
  <cols>
    <col min="3" max="3" width="57.42578125" customWidth="1"/>
    <col min="4" max="4" width="11.7109375" bestFit="1" customWidth="1"/>
    <col min="5" max="5" width="14.7109375" customWidth="1"/>
    <col min="6" max="6" width="15.42578125" customWidth="1"/>
    <col min="7" max="7" width="17.28515625" customWidth="1"/>
    <col min="8" max="8" width="21.42578125" customWidth="1"/>
    <col min="9" max="9" width="16.7109375" customWidth="1"/>
    <col min="10" max="10" width="21.85546875" customWidth="1"/>
    <col min="11" max="12" width="18.5703125" customWidth="1"/>
    <col min="13" max="13" width="21.85546875" customWidth="1"/>
    <col min="14" max="14" width="18.7109375" customWidth="1"/>
    <col min="15" max="15" width="21.7109375" customWidth="1"/>
    <col min="16" max="16" width="19.42578125" customWidth="1"/>
    <col min="17" max="17" width="20.140625" customWidth="1"/>
    <col min="18" max="18" width="18.85546875" customWidth="1"/>
    <col min="19" max="19" width="17.42578125" customWidth="1"/>
    <col min="20" max="20" width="19" customWidth="1"/>
    <col min="21" max="21" width="18.42578125" customWidth="1"/>
    <col min="22" max="22" width="17.5703125" customWidth="1"/>
    <col min="23" max="23" width="18.42578125" customWidth="1"/>
  </cols>
  <sheetData>
    <row r="1" spans="3:16">
      <c r="C1" s="221" t="s">
        <v>43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3:16"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3:16">
      <c r="C3" s="221" t="s">
        <v>243</v>
      </c>
      <c r="D3" s="95"/>
      <c r="E3" s="95"/>
      <c r="F3" s="95"/>
      <c r="G3" s="95"/>
      <c r="H3" s="95"/>
      <c r="I3" s="95"/>
      <c r="J3" s="95"/>
      <c r="K3" s="95"/>
      <c r="L3" s="95"/>
      <c r="M3" s="103"/>
      <c r="N3" s="103"/>
      <c r="O3" s="95"/>
    </row>
    <row r="4" spans="3:16" ht="24.75">
      <c r="C4" s="11"/>
      <c r="D4" s="444">
        <v>2014</v>
      </c>
      <c r="E4" s="444"/>
      <c r="F4" s="444"/>
      <c r="G4" s="444">
        <v>2015</v>
      </c>
      <c r="H4" s="444"/>
      <c r="I4" s="444"/>
      <c r="J4" s="444" t="s">
        <v>7</v>
      </c>
      <c r="K4" s="444"/>
      <c r="L4" s="444"/>
      <c r="M4" s="445" t="s">
        <v>52</v>
      </c>
      <c r="N4" s="445"/>
      <c r="O4" s="107" t="s">
        <v>53</v>
      </c>
    </row>
    <row r="5" spans="3:16" ht="24.75">
      <c r="C5" s="11"/>
      <c r="D5" s="104" t="s">
        <v>6</v>
      </c>
      <c r="E5" s="104" t="s">
        <v>47</v>
      </c>
      <c r="F5" s="104" t="s">
        <v>48</v>
      </c>
      <c r="G5" s="104" t="s">
        <v>6</v>
      </c>
      <c r="H5" s="104" t="s">
        <v>47</v>
      </c>
      <c r="I5" s="104" t="s">
        <v>48</v>
      </c>
      <c r="J5" s="107" t="s">
        <v>6</v>
      </c>
      <c r="K5" s="104" t="s">
        <v>47</v>
      </c>
      <c r="L5" s="104" t="s">
        <v>48</v>
      </c>
      <c r="M5" s="107" t="s">
        <v>50</v>
      </c>
      <c r="N5" s="107" t="s">
        <v>244</v>
      </c>
      <c r="O5" s="107" t="s">
        <v>244</v>
      </c>
    </row>
    <row r="6" spans="3:16">
      <c r="C6" s="272" t="s">
        <v>309</v>
      </c>
      <c r="D6" s="10">
        <v>6000</v>
      </c>
      <c r="E6" s="12">
        <f t="shared" ref="E6:E7" si="0">D6*0.23</f>
        <v>1380</v>
      </c>
      <c r="F6" s="12">
        <f t="shared" ref="F6:F7" si="1">D6+E6</f>
        <v>7380</v>
      </c>
      <c r="G6" s="10"/>
      <c r="H6" s="10"/>
      <c r="I6" s="10"/>
      <c r="J6" s="368">
        <f>D6</f>
        <v>6000</v>
      </c>
      <c r="K6" s="368">
        <f t="shared" ref="K6:L7" si="2">E6</f>
        <v>1380</v>
      </c>
      <c r="L6" s="368">
        <f t="shared" si="2"/>
        <v>7380</v>
      </c>
      <c r="M6" s="368">
        <v>0</v>
      </c>
      <c r="N6" s="368">
        <f>J6</f>
        <v>6000</v>
      </c>
      <c r="O6" s="368">
        <f>K6</f>
        <v>1380</v>
      </c>
    </row>
    <row r="7" spans="3:16">
      <c r="C7" s="272" t="s">
        <v>281</v>
      </c>
      <c r="D7" s="10">
        <v>1800</v>
      </c>
      <c r="E7" s="12">
        <f t="shared" si="0"/>
        <v>414</v>
      </c>
      <c r="F7" s="12">
        <f t="shared" si="1"/>
        <v>2214</v>
      </c>
      <c r="G7" s="10"/>
      <c r="H7" s="10"/>
      <c r="I7" s="10"/>
      <c r="J7" s="368">
        <f>D7</f>
        <v>1800</v>
      </c>
      <c r="K7" s="368">
        <f t="shared" si="2"/>
        <v>414</v>
      </c>
      <c r="L7" s="368">
        <f t="shared" si="2"/>
        <v>2214</v>
      </c>
      <c r="M7" s="368">
        <v>0</v>
      </c>
      <c r="N7" s="368">
        <f>J7</f>
        <v>1800</v>
      </c>
      <c r="O7" s="368">
        <f>K7</f>
        <v>414</v>
      </c>
    </row>
    <row r="8" spans="3:16">
      <c r="C8" s="100" t="s">
        <v>273</v>
      </c>
      <c r="D8" s="98">
        <v>1800</v>
      </c>
      <c r="E8" s="98">
        <f>D8*0.23</f>
        <v>414</v>
      </c>
      <c r="F8" s="98">
        <f>D8+E8</f>
        <v>2214</v>
      </c>
      <c r="G8" s="12">
        <v>0</v>
      </c>
      <c r="H8" s="12">
        <v>0</v>
      </c>
      <c r="I8" s="12">
        <v>0</v>
      </c>
      <c r="J8" s="80">
        <f>D8+G8</f>
        <v>1800</v>
      </c>
      <c r="K8" s="80">
        <f>E8+H8</f>
        <v>414</v>
      </c>
      <c r="L8" s="80">
        <f>F8+I8</f>
        <v>2214</v>
      </c>
      <c r="M8" s="80">
        <f>J8*0.85</f>
        <v>1530</v>
      </c>
      <c r="N8" s="80">
        <f>J8*0.15</f>
        <v>270</v>
      </c>
      <c r="O8" s="80">
        <f>K8</f>
        <v>414</v>
      </c>
    </row>
    <row r="9" spans="3:16">
      <c r="C9" s="264" t="s">
        <v>306</v>
      </c>
      <c r="D9" s="12"/>
      <c r="E9" s="12"/>
      <c r="F9" s="12"/>
      <c r="G9" s="12">
        <f>'zadania i plan płatności'!B30*'zadania i plan płatności'!C56</f>
        <v>11115.736879244858</v>
      </c>
      <c r="H9" s="12">
        <f>G9*0.23</f>
        <v>2556.6194822263174</v>
      </c>
      <c r="I9" s="12">
        <f>G9+H9</f>
        <v>13672.356361471175</v>
      </c>
      <c r="J9" s="80">
        <f t="shared" ref="J9:L13" si="3">D9+G9</f>
        <v>11115.736879244858</v>
      </c>
      <c r="K9" s="80">
        <f t="shared" si="3"/>
        <v>2556.6194822263174</v>
      </c>
      <c r="L9" s="80">
        <f t="shared" si="3"/>
        <v>13672.356361471175</v>
      </c>
      <c r="M9" s="80">
        <f t="shared" ref="M9:M13" si="4">J9*0.85</f>
        <v>9448.3763473581294</v>
      </c>
      <c r="N9" s="80">
        <f t="shared" ref="N9:N13" si="5">J9*0.15</f>
        <v>1667.3605318867287</v>
      </c>
      <c r="O9" s="80">
        <f t="shared" ref="O9:O13" si="6">K9</f>
        <v>2556.6194822263174</v>
      </c>
    </row>
    <row r="10" spans="3:16">
      <c r="C10" s="100" t="s">
        <v>331</v>
      </c>
      <c r="D10" s="12">
        <v>0</v>
      </c>
      <c r="E10" s="12">
        <v>0</v>
      </c>
      <c r="F10" s="12">
        <v>0</v>
      </c>
      <c r="G10" s="12">
        <f>'zadania i plan płatności'!B33*'zadania i plan płatności'!C56</f>
        <v>33347.210637734577</v>
      </c>
      <c r="H10" s="12">
        <f>G10*0.23</f>
        <v>7669.8584466789534</v>
      </c>
      <c r="I10" s="12">
        <f>G10+H10</f>
        <v>41017.069084413532</v>
      </c>
      <c r="J10" s="80">
        <f t="shared" si="3"/>
        <v>33347.210637734577</v>
      </c>
      <c r="K10" s="80">
        <f t="shared" si="3"/>
        <v>7669.8584466789534</v>
      </c>
      <c r="L10" s="80">
        <f t="shared" si="3"/>
        <v>41017.069084413532</v>
      </c>
      <c r="M10" s="80">
        <f t="shared" si="4"/>
        <v>28345.12904207439</v>
      </c>
      <c r="N10" s="80">
        <f t="shared" si="5"/>
        <v>5002.0815956601864</v>
      </c>
      <c r="O10" s="80">
        <f t="shared" si="6"/>
        <v>7669.8584466789534</v>
      </c>
    </row>
    <row r="11" spans="3:16" ht="24.75">
      <c r="C11" s="13" t="s">
        <v>274</v>
      </c>
      <c r="D11" s="12"/>
      <c r="E11" s="12"/>
      <c r="F11" s="12"/>
      <c r="G11" s="12">
        <f>'zadania i plan płatności'!B41</f>
        <v>830883.83999999997</v>
      </c>
      <c r="H11" s="12">
        <f t="shared" ref="H11:H13" si="7">G11*0.23</f>
        <v>191103.28320000001</v>
      </c>
      <c r="I11" s="12">
        <f t="shared" ref="I11:I13" si="8">G11+H11</f>
        <v>1021987.1232</v>
      </c>
      <c r="J11" s="80">
        <f t="shared" si="3"/>
        <v>830883.83999999997</v>
      </c>
      <c r="K11" s="80">
        <f t="shared" si="3"/>
        <v>191103.28320000001</v>
      </c>
      <c r="L11" s="80">
        <f t="shared" si="3"/>
        <v>1021987.1232</v>
      </c>
      <c r="M11" s="80">
        <f t="shared" si="4"/>
        <v>706251.26399999997</v>
      </c>
      <c r="N11" s="80">
        <f t="shared" si="5"/>
        <v>124632.57599999999</v>
      </c>
      <c r="O11" s="80">
        <f t="shared" si="6"/>
        <v>191103.28320000001</v>
      </c>
    </row>
    <row r="12" spans="3:16">
      <c r="C12" s="263" t="s">
        <v>307</v>
      </c>
      <c r="D12" s="12"/>
      <c r="E12" s="12"/>
      <c r="F12" s="12"/>
      <c r="G12" s="12">
        <f>'zadania i plan płatności'!B45*'zadania i plan płatności'!C56</f>
        <v>22231.473758489716</v>
      </c>
      <c r="H12" s="12">
        <f t="shared" si="7"/>
        <v>5113.2389644526347</v>
      </c>
      <c r="I12" s="12">
        <f t="shared" si="8"/>
        <v>27344.71272294235</v>
      </c>
      <c r="J12" s="80">
        <f t="shared" si="3"/>
        <v>22231.473758489716</v>
      </c>
      <c r="K12" s="80">
        <f t="shared" si="3"/>
        <v>5113.2389644526347</v>
      </c>
      <c r="L12" s="80">
        <f t="shared" si="3"/>
        <v>27344.71272294235</v>
      </c>
      <c r="M12" s="80">
        <f t="shared" si="4"/>
        <v>18896.752694716259</v>
      </c>
      <c r="N12" s="80">
        <f t="shared" si="5"/>
        <v>3334.7210637734574</v>
      </c>
      <c r="O12" s="80">
        <f t="shared" si="6"/>
        <v>5113.2389644526347</v>
      </c>
    </row>
    <row r="13" spans="3:16" ht="24">
      <c r="C13" s="101" t="s">
        <v>308</v>
      </c>
      <c r="D13" s="12"/>
      <c r="E13" s="12"/>
      <c r="F13" s="12"/>
      <c r="G13" s="12">
        <f>'zadania i plan płatności'!B42*'zadania i plan płatności'!C56</f>
        <v>2223.1473758489719</v>
      </c>
      <c r="H13" s="12">
        <f t="shared" si="7"/>
        <v>511.32389644526359</v>
      </c>
      <c r="I13" s="12">
        <f t="shared" si="8"/>
        <v>2734.4712722942354</v>
      </c>
      <c r="J13" s="80">
        <f t="shared" si="3"/>
        <v>2223.1473758489719</v>
      </c>
      <c r="K13" s="80">
        <f t="shared" si="3"/>
        <v>511.32389644526359</v>
      </c>
      <c r="L13" s="80">
        <f t="shared" si="3"/>
        <v>2734.4712722942354</v>
      </c>
      <c r="M13" s="80">
        <f t="shared" si="4"/>
        <v>1889.6752694716261</v>
      </c>
      <c r="N13" s="80">
        <f t="shared" si="5"/>
        <v>333.47210637734577</v>
      </c>
      <c r="O13" s="80">
        <f t="shared" si="6"/>
        <v>511.32389644526359</v>
      </c>
    </row>
    <row r="14" spans="3:16">
      <c r="C14" s="222" t="s">
        <v>49</v>
      </c>
      <c r="D14" s="106">
        <f>SUM(D6:D13)</f>
        <v>9600</v>
      </c>
      <c r="E14" s="106">
        <f t="shared" ref="E14:O14" si="9">SUM(E6:E13)</f>
        <v>2208</v>
      </c>
      <c r="F14" s="106">
        <f t="shared" si="9"/>
        <v>11808</v>
      </c>
      <c r="G14" s="106">
        <f t="shared" si="9"/>
        <v>899801.40865131805</v>
      </c>
      <c r="H14" s="106">
        <f t="shared" si="9"/>
        <v>206954.3239898032</v>
      </c>
      <c r="I14" s="106">
        <f t="shared" si="9"/>
        <v>1106755.7326411211</v>
      </c>
      <c r="J14" s="106">
        <f t="shared" si="9"/>
        <v>909401.40865131805</v>
      </c>
      <c r="K14" s="106">
        <f t="shared" si="9"/>
        <v>209162.3239898032</v>
      </c>
      <c r="L14" s="106">
        <f t="shared" si="9"/>
        <v>1118563.7326411211</v>
      </c>
      <c r="M14" s="106">
        <f t="shared" si="9"/>
        <v>766361.19735362031</v>
      </c>
      <c r="N14" s="106">
        <f t="shared" si="9"/>
        <v>143040.21129769771</v>
      </c>
      <c r="O14" s="106">
        <f t="shared" si="9"/>
        <v>209162.3239898032</v>
      </c>
      <c r="P14" s="96"/>
    </row>
    <row r="16" spans="3:16">
      <c r="O16" s="96"/>
    </row>
    <row r="17" spans="2:23">
      <c r="B17" s="95"/>
      <c r="C17" s="223" t="s">
        <v>124</v>
      </c>
      <c r="D17" s="95"/>
      <c r="E17" s="95"/>
      <c r="F17" s="95"/>
      <c r="I17" t="s">
        <v>271</v>
      </c>
    </row>
    <row r="18" spans="2:23">
      <c r="B18" s="95"/>
      <c r="C18" s="223"/>
      <c r="D18" s="95"/>
      <c r="E18" s="95"/>
      <c r="F18" s="95"/>
      <c r="I18" t="s">
        <v>205</v>
      </c>
    </row>
    <row r="19" spans="2:23">
      <c r="B19" s="11"/>
      <c r="C19" s="222" t="s">
        <v>245</v>
      </c>
      <c r="D19" s="11"/>
      <c r="E19" s="444" t="s">
        <v>204</v>
      </c>
      <c r="F19" s="444"/>
      <c r="G19" s="440" t="s">
        <v>203</v>
      </c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440"/>
      <c r="T19" s="440"/>
      <c r="U19" s="440"/>
      <c r="V19" s="440"/>
      <c r="W19" s="440"/>
    </row>
    <row r="20" spans="2:23">
      <c r="B20" s="232" t="s">
        <v>54</v>
      </c>
      <c r="C20" s="232" t="s">
        <v>55</v>
      </c>
      <c r="D20" s="233" t="s">
        <v>56</v>
      </c>
      <c r="E20" s="224">
        <v>2012</v>
      </c>
      <c r="F20" s="11">
        <v>2013</v>
      </c>
      <c r="G20" s="37">
        <v>2014</v>
      </c>
      <c r="H20" s="164">
        <v>2015</v>
      </c>
      <c r="I20" s="164">
        <v>2016</v>
      </c>
      <c r="J20" s="164">
        <v>2017</v>
      </c>
      <c r="K20" s="164">
        <v>2018</v>
      </c>
      <c r="L20" s="164">
        <v>2019</v>
      </c>
      <c r="M20" s="164">
        <v>2020</v>
      </c>
      <c r="N20" s="164">
        <v>2021</v>
      </c>
      <c r="O20" s="164">
        <v>2022</v>
      </c>
      <c r="P20" s="164">
        <v>2023</v>
      </c>
      <c r="Q20" s="164">
        <v>2024</v>
      </c>
      <c r="R20" s="164">
        <v>2025</v>
      </c>
      <c r="S20" s="164">
        <v>2026</v>
      </c>
      <c r="T20" s="164">
        <v>2027</v>
      </c>
      <c r="U20" s="164">
        <v>2028</v>
      </c>
      <c r="V20" s="164">
        <v>2029</v>
      </c>
      <c r="W20" s="164">
        <v>2030</v>
      </c>
    </row>
    <row r="21" spans="2:23">
      <c r="B21" s="225" t="s">
        <v>57</v>
      </c>
      <c r="C21" s="226" t="s">
        <v>58</v>
      </c>
      <c r="D21" s="227" t="s">
        <v>59</v>
      </c>
      <c r="E21" s="166">
        <f>E23+E24+E25+E26</f>
        <v>9118121.620000001</v>
      </c>
      <c r="F21" s="166">
        <f>F23+F24+F25+F26</f>
        <v>10206692.41</v>
      </c>
      <c r="G21" s="166">
        <f>G23+G24+G25+G26</f>
        <v>10717027.030499998</v>
      </c>
      <c r="H21" s="166">
        <f t="shared" ref="H21:W21" si="10">H23+H24+H25+H26</f>
        <v>11252878.382025</v>
      </c>
      <c r="I21" s="166">
        <f t="shared" si="10"/>
        <v>11815522.301126251</v>
      </c>
      <c r="J21" s="166">
        <f t="shared" si="10"/>
        <v>12406298.416182563</v>
      </c>
      <c r="K21" s="166">
        <f t="shared" si="10"/>
        <v>13026613.33699169</v>
      </c>
      <c r="L21" s="166">
        <f t="shared" si="10"/>
        <v>13677944.003841277</v>
      </c>
      <c r="M21" s="166">
        <f t="shared" si="10"/>
        <v>14361841.204033341</v>
      </c>
      <c r="N21" s="166">
        <f t="shared" si="10"/>
        <v>15079933.264235009</v>
      </c>
      <c r="O21" s="166">
        <f t="shared" si="10"/>
        <v>15833929.927446758</v>
      </c>
      <c r="P21" s="166">
        <f t="shared" si="10"/>
        <v>16625626.423819095</v>
      </c>
      <c r="Q21" s="166">
        <f t="shared" si="10"/>
        <v>17456907.745010048</v>
      </c>
      <c r="R21" s="166">
        <f t="shared" si="10"/>
        <v>18329753.13226055</v>
      </c>
      <c r="S21" s="166">
        <f t="shared" si="10"/>
        <v>19246240.788873579</v>
      </c>
      <c r="T21" s="166">
        <f t="shared" si="10"/>
        <v>20208552.828317262</v>
      </c>
      <c r="U21" s="166">
        <f t="shared" si="10"/>
        <v>21218980.469733123</v>
      </c>
      <c r="V21" s="166">
        <f t="shared" si="10"/>
        <v>22279929.493219778</v>
      </c>
      <c r="W21" s="166">
        <f t="shared" si="10"/>
        <v>23393925.967880767</v>
      </c>
    </row>
    <row r="22" spans="2:23">
      <c r="B22" s="228"/>
      <c r="C22" s="229" t="s">
        <v>60</v>
      </c>
      <c r="D22" s="227" t="s">
        <v>59</v>
      </c>
      <c r="E22" s="167">
        <v>0</v>
      </c>
      <c r="F22" s="12">
        <v>0</v>
      </c>
      <c r="G22" s="102">
        <f>F22+F22*0.05</f>
        <v>0</v>
      </c>
      <c r="H22" s="102">
        <f t="shared" ref="H22:W36" si="11">G22+G22*0.05</f>
        <v>0</v>
      </c>
      <c r="I22" s="102">
        <f t="shared" si="11"/>
        <v>0</v>
      </c>
      <c r="J22" s="102">
        <f t="shared" si="11"/>
        <v>0</v>
      </c>
      <c r="K22" s="102">
        <f t="shared" si="11"/>
        <v>0</v>
      </c>
      <c r="L22" s="102">
        <f t="shared" si="11"/>
        <v>0</v>
      </c>
      <c r="M22" s="102">
        <f t="shared" si="11"/>
        <v>0</v>
      </c>
      <c r="N22" s="102">
        <f t="shared" si="11"/>
        <v>0</v>
      </c>
      <c r="O22" s="102">
        <f t="shared" si="11"/>
        <v>0</v>
      </c>
      <c r="P22" s="102">
        <f t="shared" si="11"/>
        <v>0</v>
      </c>
      <c r="Q22" s="102">
        <f t="shared" si="11"/>
        <v>0</v>
      </c>
      <c r="R22" s="102">
        <f t="shared" si="11"/>
        <v>0</v>
      </c>
      <c r="S22" s="102">
        <f t="shared" si="11"/>
        <v>0</v>
      </c>
      <c r="T22" s="102">
        <f t="shared" si="11"/>
        <v>0</v>
      </c>
      <c r="U22" s="102">
        <f t="shared" si="11"/>
        <v>0</v>
      </c>
      <c r="V22" s="102">
        <f t="shared" si="11"/>
        <v>0</v>
      </c>
      <c r="W22" s="102">
        <f t="shared" si="11"/>
        <v>0</v>
      </c>
    </row>
    <row r="23" spans="2:23">
      <c r="B23" s="228" t="s">
        <v>61</v>
      </c>
      <c r="C23" s="230" t="s">
        <v>62</v>
      </c>
      <c r="D23" s="227" t="s">
        <v>59</v>
      </c>
      <c r="E23" s="167">
        <v>8816641.7100000009</v>
      </c>
      <c r="F23" s="12">
        <v>9939444.5700000003</v>
      </c>
      <c r="G23" s="102">
        <f t="shared" ref="G23:V67" si="12">F23+F23*0.05</f>
        <v>10436416.7985</v>
      </c>
      <c r="H23" s="102">
        <f t="shared" si="12"/>
        <v>10958237.638425</v>
      </c>
      <c r="I23" s="102">
        <f t="shared" si="12"/>
        <v>11506149.52034625</v>
      </c>
      <c r="J23" s="102">
        <f t="shared" si="12"/>
        <v>12081456.996363563</v>
      </c>
      <c r="K23" s="102">
        <f t="shared" si="12"/>
        <v>12685529.846181741</v>
      </c>
      <c r="L23" s="102">
        <f t="shared" si="12"/>
        <v>13319806.338490829</v>
      </c>
      <c r="M23" s="102">
        <f t="shared" si="12"/>
        <v>13985796.655415371</v>
      </c>
      <c r="N23" s="102">
        <f t="shared" si="12"/>
        <v>14685086.48818614</v>
      </c>
      <c r="O23" s="102">
        <f t="shared" si="12"/>
        <v>15419340.812595446</v>
      </c>
      <c r="P23" s="102">
        <f t="shared" si="12"/>
        <v>16190307.853225218</v>
      </c>
      <c r="Q23" s="102">
        <f t="shared" si="12"/>
        <v>16999823.245886479</v>
      </c>
      <c r="R23" s="102">
        <f t="shared" si="12"/>
        <v>17849814.408180803</v>
      </c>
      <c r="S23" s="102">
        <f t="shared" si="12"/>
        <v>18742305.128589842</v>
      </c>
      <c r="T23" s="102">
        <f t="shared" si="12"/>
        <v>19679420.385019336</v>
      </c>
      <c r="U23" s="102">
        <f t="shared" si="12"/>
        <v>20663391.404270303</v>
      </c>
      <c r="V23" s="102">
        <f t="shared" si="12"/>
        <v>21696560.974483818</v>
      </c>
      <c r="W23" s="102">
        <f t="shared" si="11"/>
        <v>22781389.023208007</v>
      </c>
    </row>
    <row r="24" spans="2:23" ht="24.75">
      <c r="B24" s="228" t="s">
        <v>63</v>
      </c>
      <c r="C24" s="230" t="s">
        <v>64</v>
      </c>
      <c r="D24" s="227" t="s">
        <v>59</v>
      </c>
      <c r="E24" s="167">
        <v>0</v>
      </c>
      <c r="F24" s="213">
        <v>0</v>
      </c>
      <c r="G24" s="102">
        <f t="shared" si="12"/>
        <v>0</v>
      </c>
      <c r="H24" s="102">
        <f t="shared" si="11"/>
        <v>0</v>
      </c>
      <c r="I24" s="102">
        <f t="shared" si="11"/>
        <v>0</v>
      </c>
      <c r="J24" s="102">
        <f t="shared" si="11"/>
        <v>0</v>
      </c>
      <c r="K24" s="102">
        <f t="shared" si="11"/>
        <v>0</v>
      </c>
      <c r="L24" s="102">
        <f t="shared" si="11"/>
        <v>0</v>
      </c>
      <c r="M24" s="102">
        <f t="shared" si="11"/>
        <v>0</v>
      </c>
      <c r="N24" s="102">
        <f t="shared" si="11"/>
        <v>0</v>
      </c>
      <c r="O24" s="102">
        <f t="shared" si="11"/>
        <v>0</v>
      </c>
      <c r="P24" s="102">
        <f t="shared" si="11"/>
        <v>0</v>
      </c>
      <c r="Q24" s="102">
        <f t="shared" si="11"/>
        <v>0</v>
      </c>
      <c r="R24" s="102">
        <f t="shared" si="11"/>
        <v>0</v>
      </c>
      <c r="S24" s="102">
        <f t="shared" si="11"/>
        <v>0</v>
      </c>
      <c r="T24" s="102">
        <f t="shared" si="11"/>
        <v>0</v>
      </c>
      <c r="U24" s="102">
        <f t="shared" si="11"/>
        <v>0</v>
      </c>
      <c r="V24" s="102">
        <f t="shared" si="11"/>
        <v>0</v>
      </c>
      <c r="W24" s="102">
        <f t="shared" si="11"/>
        <v>0</v>
      </c>
    </row>
    <row r="25" spans="2:23">
      <c r="B25" s="228" t="s">
        <v>65</v>
      </c>
      <c r="C25" s="230" t="s">
        <v>66</v>
      </c>
      <c r="D25" s="227" t="s">
        <v>59</v>
      </c>
      <c r="E25" s="167">
        <v>15742.21</v>
      </c>
      <c r="F25" s="214">
        <v>8695.35</v>
      </c>
      <c r="G25" s="102">
        <f t="shared" si="12"/>
        <v>9130.1175000000003</v>
      </c>
      <c r="H25" s="102">
        <f t="shared" si="11"/>
        <v>9586.623375000001</v>
      </c>
      <c r="I25" s="102">
        <f t="shared" si="11"/>
        <v>10065.954543750002</v>
      </c>
      <c r="J25" s="102">
        <f t="shared" si="11"/>
        <v>10569.252270937503</v>
      </c>
      <c r="K25" s="102">
        <f t="shared" si="11"/>
        <v>11097.714884484378</v>
      </c>
      <c r="L25" s="102">
        <f t="shared" si="11"/>
        <v>11652.600628708597</v>
      </c>
      <c r="M25" s="102">
        <f t="shared" si="11"/>
        <v>12235.230660144027</v>
      </c>
      <c r="N25" s="102">
        <f t="shared" si="11"/>
        <v>12846.992193151229</v>
      </c>
      <c r="O25" s="102">
        <f t="shared" si="11"/>
        <v>13489.341802808791</v>
      </c>
      <c r="P25" s="102">
        <f t="shared" si="11"/>
        <v>14163.80889294923</v>
      </c>
      <c r="Q25" s="102">
        <f t="shared" si="11"/>
        <v>14871.999337596691</v>
      </c>
      <c r="R25" s="102">
        <f t="shared" si="11"/>
        <v>15615.599304476526</v>
      </c>
      <c r="S25" s="102">
        <f t="shared" si="11"/>
        <v>16396.379269700352</v>
      </c>
      <c r="T25" s="102">
        <f t="shared" si="11"/>
        <v>17216.198233185369</v>
      </c>
      <c r="U25" s="102">
        <f t="shared" si="11"/>
        <v>18077.008144844636</v>
      </c>
      <c r="V25" s="102">
        <f t="shared" si="11"/>
        <v>18980.858552086869</v>
      </c>
      <c r="W25" s="102">
        <f t="shared" si="11"/>
        <v>19929.901479691212</v>
      </c>
    </row>
    <row r="26" spans="2:23">
      <c r="B26" s="228" t="s">
        <v>67</v>
      </c>
      <c r="C26" s="230" t="s">
        <v>68</v>
      </c>
      <c r="D26" s="227" t="s">
        <v>59</v>
      </c>
      <c r="E26" s="167">
        <v>285737.7</v>
      </c>
      <c r="F26" s="183">
        <v>258552.49</v>
      </c>
      <c r="G26" s="102">
        <f t="shared" si="12"/>
        <v>271480.11449999997</v>
      </c>
      <c r="H26" s="102">
        <f t="shared" si="11"/>
        <v>285054.12022499996</v>
      </c>
      <c r="I26" s="102">
        <f t="shared" si="11"/>
        <v>299306.82623624994</v>
      </c>
      <c r="J26" s="102">
        <f t="shared" si="11"/>
        <v>314272.16754806245</v>
      </c>
      <c r="K26" s="102">
        <f t="shared" si="11"/>
        <v>329985.77592546557</v>
      </c>
      <c r="L26" s="102">
        <f t="shared" si="11"/>
        <v>346485.06472173886</v>
      </c>
      <c r="M26" s="102">
        <f t="shared" si="11"/>
        <v>363809.31795782578</v>
      </c>
      <c r="N26" s="102">
        <f t="shared" si="11"/>
        <v>381999.78385571705</v>
      </c>
      <c r="O26" s="102">
        <f t="shared" si="11"/>
        <v>401099.77304850292</v>
      </c>
      <c r="P26" s="102">
        <f t="shared" si="11"/>
        <v>421154.76170092809</v>
      </c>
      <c r="Q26" s="102">
        <f t="shared" si="11"/>
        <v>442212.49978597451</v>
      </c>
      <c r="R26" s="102">
        <f t="shared" si="11"/>
        <v>464323.12477527326</v>
      </c>
      <c r="S26" s="102">
        <f t="shared" si="11"/>
        <v>487539.28101403691</v>
      </c>
      <c r="T26" s="102">
        <f t="shared" si="11"/>
        <v>511916.24506473879</v>
      </c>
      <c r="U26" s="102">
        <f t="shared" si="11"/>
        <v>537512.05731797568</v>
      </c>
      <c r="V26" s="102">
        <f t="shared" si="11"/>
        <v>564387.66018387442</v>
      </c>
      <c r="W26" s="102">
        <f t="shared" si="11"/>
        <v>592607.04319306812</v>
      </c>
    </row>
    <row r="27" spans="2:23">
      <c r="B27" s="225" t="s">
        <v>69</v>
      </c>
      <c r="C27" s="231" t="s">
        <v>70</v>
      </c>
      <c r="D27" s="227" t="s">
        <v>59</v>
      </c>
      <c r="E27" s="166">
        <f>SUM(E28:E36)-E32</f>
        <v>9212883.5500000007</v>
      </c>
      <c r="F27" s="166">
        <f>SUM(F28:F36)-F32</f>
        <v>10263163.180000002</v>
      </c>
      <c r="G27" s="166">
        <f>SUM(G28:G36)-G32</f>
        <v>10653696.952</v>
      </c>
      <c r="H27" s="166">
        <f t="shared" ref="H27:W27" si="13">SUM(H28:H36)-H32</f>
        <v>11979290.040601321</v>
      </c>
      <c r="I27" s="166">
        <f t="shared" si="13"/>
        <v>11563062.674712567</v>
      </c>
      <c r="J27" s="166">
        <f t="shared" si="13"/>
        <v>12036080.72464407</v>
      </c>
      <c r="K27" s="166">
        <f t="shared" si="13"/>
        <v>12538006.431262353</v>
      </c>
      <c r="L27" s="166">
        <f t="shared" si="13"/>
        <v>13070022.339692246</v>
      </c>
      <c r="M27" s="166">
        <f t="shared" si="13"/>
        <v>13633383.2642003</v>
      </c>
      <c r="N27" s="166">
        <f t="shared" si="13"/>
        <v>14229419.244557582</v>
      </c>
      <c r="O27" s="166">
        <f t="shared" si="13"/>
        <v>14859538.683075365</v>
      </c>
      <c r="P27" s="166">
        <f t="shared" si="13"/>
        <v>15525231.66970454</v>
      </c>
      <c r="Q27" s="166">
        <f t="shared" si="13"/>
        <v>16228073.503041407</v>
      </c>
      <c r="R27" s="166">
        <f t="shared" si="13"/>
        <v>16969728.41555253</v>
      </c>
      <c r="S27" s="166">
        <f t="shared" si="13"/>
        <v>17751953.511821255</v>
      </c>
      <c r="T27" s="166">
        <f t="shared" si="13"/>
        <v>18576602.92912887</v>
      </c>
      <c r="U27" s="166">
        <f t="shared" si="13"/>
        <v>19445632.230216034</v>
      </c>
      <c r="V27" s="166">
        <f t="shared" si="13"/>
        <v>20361103.038626023</v>
      </c>
      <c r="W27" s="166">
        <f t="shared" si="13"/>
        <v>21325187.927611545</v>
      </c>
    </row>
    <row r="28" spans="2:23">
      <c r="B28" s="228" t="s">
        <v>71</v>
      </c>
      <c r="C28" s="229" t="s">
        <v>72</v>
      </c>
      <c r="D28" s="227" t="s">
        <v>59</v>
      </c>
      <c r="E28" s="167">
        <v>1490219.19</v>
      </c>
      <c r="F28" s="215">
        <v>1226243.8700000001</v>
      </c>
      <c r="G28" s="102">
        <f>F28-F28*0.05</f>
        <v>1164931.6765000001</v>
      </c>
      <c r="H28" s="102">
        <f t="shared" ref="H28:W28" si="14">G28-G28*0.05</f>
        <v>1106685.092675</v>
      </c>
      <c r="I28" s="102">
        <f t="shared" si="14"/>
        <v>1051350.8380412499</v>
      </c>
      <c r="J28" s="102">
        <f t="shared" si="14"/>
        <v>998783.29613918741</v>
      </c>
      <c r="K28" s="102">
        <f t="shared" si="14"/>
        <v>948844.13133222808</v>
      </c>
      <c r="L28" s="102">
        <f t="shared" si="14"/>
        <v>901401.92476561666</v>
      </c>
      <c r="M28" s="102">
        <f t="shared" si="14"/>
        <v>856331.82852733578</v>
      </c>
      <c r="N28" s="102">
        <f t="shared" si="14"/>
        <v>813515.23710096895</v>
      </c>
      <c r="O28" s="102">
        <f t="shared" si="14"/>
        <v>772839.47524592048</v>
      </c>
      <c r="P28" s="102">
        <f t="shared" si="14"/>
        <v>734197.50148362445</v>
      </c>
      <c r="Q28" s="102">
        <f t="shared" si="14"/>
        <v>697487.62640944321</v>
      </c>
      <c r="R28" s="102">
        <f t="shared" si="14"/>
        <v>662613.2450889711</v>
      </c>
      <c r="S28" s="102">
        <f t="shared" si="14"/>
        <v>629482.58283452259</v>
      </c>
      <c r="T28" s="102">
        <f t="shared" si="14"/>
        <v>598008.45369279641</v>
      </c>
      <c r="U28" s="102">
        <f t="shared" si="14"/>
        <v>568108.0310081566</v>
      </c>
      <c r="V28" s="102">
        <f t="shared" si="14"/>
        <v>539702.62945774873</v>
      </c>
      <c r="W28" s="102">
        <f t="shared" si="14"/>
        <v>512717.49798486131</v>
      </c>
    </row>
    <row r="29" spans="2:23">
      <c r="B29" s="228" t="s">
        <v>63</v>
      </c>
      <c r="C29" s="229" t="s">
        <v>73</v>
      </c>
      <c r="D29" s="227" t="s">
        <v>59</v>
      </c>
      <c r="E29" s="167">
        <v>2145700.69</v>
      </c>
      <c r="F29" s="215">
        <v>2640864.84</v>
      </c>
      <c r="G29" s="102">
        <f t="shared" si="12"/>
        <v>2772908.0819999999</v>
      </c>
      <c r="H29" s="271">
        <f>(G29+G29*0.05)+J14</f>
        <v>3820954.8947513178</v>
      </c>
      <c r="I29" s="102">
        <f>(H29+H29*0.05)-J14</f>
        <v>3102601.2308375658</v>
      </c>
      <c r="J29" s="102">
        <f t="shared" si="11"/>
        <v>3257731.292379444</v>
      </c>
      <c r="K29" s="102">
        <f t="shared" si="11"/>
        <v>3420617.8569984161</v>
      </c>
      <c r="L29" s="102">
        <f t="shared" si="11"/>
        <v>3591648.7498483369</v>
      </c>
      <c r="M29" s="102">
        <f t="shared" si="11"/>
        <v>3771231.1873407536</v>
      </c>
      <c r="N29" s="102">
        <f t="shared" si="11"/>
        <v>3959792.7467077915</v>
      </c>
      <c r="O29" s="102">
        <f t="shared" si="11"/>
        <v>4157782.3840431808</v>
      </c>
      <c r="P29" s="102">
        <f t="shared" si="11"/>
        <v>4365671.5032453397</v>
      </c>
      <c r="Q29" s="102">
        <f t="shared" si="11"/>
        <v>4583955.078407607</v>
      </c>
      <c r="R29" s="102">
        <f t="shared" si="11"/>
        <v>4813152.8323279871</v>
      </c>
      <c r="S29" s="102">
        <f t="shared" si="11"/>
        <v>5053810.4739443865</v>
      </c>
      <c r="T29" s="102">
        <f t="shared" si="11"/>
        <v>5306500.9976416063</v>
      </c>
      <c r="U29" s="102">
        <f t="shared" si="11"/>
        <v>5571826.0475236867</v>
      </c>
      <c r="V29" s="102">
        <f t="shared" si="11"/>
        <v>5850417.3498998713</v>
      </c>
      <c r="W29" s="102">
        <f t="shared" si="11"/>
        <v>6142938.2173948651</v>
      </c>
    </row>
    <row r="30" spans="2:23">
      <c r="B30" s="228" t="s">
        <v>65</v>
      </c>
      <c r="C30" s="229" t="s">
        <v>74</v>
      </c>
      <c r="D30" s="227" t="s">
        <v>59</v>
      </c>
      <c r="E30" s="167">
        <v>555826.68999999994</v>
      </c>
      <c r="F30" s="215">
        <v>585600.82999999996</v>
      </c>
      <c r="G30" s="102">
        <f t="shared" si="12"/>
        <v>614880.87150000001</v>
      </c>
      <c r="H30" s="102">
        <f t="shared" si="11"/>
        <v>645624.91507500003</v>
      </c>
      <c r="I30" s="271">
        <f>(H30+H30*0.05)+I153</f>
        <v>682784.21082875005</v>
      </c>
      <c r="J30" s="271">
        <f t="shared" si="11"/>
        <v>716923.42137018754</v>
      </c>
      <c r="K30" s="271">
        <f t="shared" si="11"/>
        <v>752769.59243869688</v>
      </c>
      <c r="L30" s="271">
        <f t="shared" si="11"/>
        <v>790408.0720606317</v>
      </c>
      <c r="M30" s="271">
        <f t="shared" si="11"/>
        <v>829928.47566366335</v>
      </c>
      <c r="N30" s="271">
        <f t="shared" si="11"/>
        <v>871424.89944684657</v>
      </c>
      <c r="O30" s="271">
        <f t="shared" si="11"/>
        <v>914996.14441918884</v>
      </c>
      <c r="P30" s="271">
        <f t="shared" si="11"/>
        <v>960745.9516401483</v>
      </c>
      <c r="Q30" s="271">
        <f t="shared" si="11"/>
        <v>1008783.2492221557</v>
      </c>
      <c r="R30" s="271">
        <f t="shared" si="11"/>
        <v>1059222.4116832635</v>
      </c>
      <c r="S30" s="271">
        <f t="shared" si="11"/>
        <v>1112183.5322674266</v>
      </c>
      <c r="T30" s="271">
        <f t="shared" si="11"/>
        <v>1167792.708880798</v>
      </c>
      <c r="U30" s="271">
        <f t="shared" si="11"/>
        <v>1226182.3443248379</v>
      </c>
      <c r="V30" s="271">
        <f t="shared" si="11"/>
        <v>1287491.4615410799</v>
      </c>
      <c r="W30" s="271">
        <f t="shared" si="11"/>
        <v>1351866.0346181339</v>
      </c>
    </row>
    <row r="31" spans="2:23">
      <c r="B31" s="228" t="s">
        <v>67</v>
      </c>
      <c r="C31" s="229" t="s">
        <v>75</v>
      </c>
      <c r="D31" s="227" t="s">
        <v>59</v>
      </c>
      <c r="E31" s="167">
        <v>1077447.4099999999</v>
      </c>
      <c r="F31" s="215">
        <v>1607291.43</v>
      </c>
      <c r="G31" s="102">
        <f t="shared" si="12"/>
        <v>1687656.0015</v>
      </c>
      <c r="H31" s="102">
        <f t="shared" si="11"/>
        <v>1772038.8015749999</v>
      </c>
      <c r="I31" s="102">
        <f t="shared" si="11"/>
        <v>1860640.74165375</v>
      </c>
      <c r="J31" s="102">
        <f t="shared" si="11"/>
        <v>1953672.7787364374</v>
      </c>
      <c r="K31" s="102">
        <f t="shared" si="11"/>
        <v>2051356.4176732593</v>
      </c>
      <c r="L31" s="102">
        <f t="shared" si="11"/>
        <v>2153924.2385569224</v>
      </c>
      <c r="M31" s="102">
        <f t="shared" si="11"/>
        <v>2261620.4504847685</v>
      </c>
      <c r="N31" s="102">
        <f t="shared" si="11"/>
        <v>2374701.4730090071</v>
      </c>
      <c r="O31" s="102">
        <f t="shared" si="11"/>
        <v>2493436.5466594575</v>
      </c>
      <c r="P31" s="102">
        <f t="shared" si="11"/>
        <v>2618108.3739924305</v>
      </c>
      <c r="Q31" s="102">
        <f t="shared" si="11"/>
        <v>2749013.7926920522</v>
      </c>
      <c r="R31" s="102">
        <f t="shared" si="11"/>
        <v>2886464.4823266547</v>
      </c>
      <c r="S31" s="102">
        <f t="shared" si="11"/>
        <v>3030787.7064429875</v>
      </c>
      <c r="T31" s="102">
        <f t="shared" si="11"/>
        <v>3182327.0917651369</v>
      </c>
      <c r="U31" s="102">
        <f t="shared" si="11"/>
        <v>3341443.4463533936</v>
      </c>
      <c r="V31" s="102">
        <f t="shared" si="11"/>
        <v>3508515.6186710633</v>
      </c>
      <c r="W31" s="102">
        <f t="shared" si="11"/>
        <v>3683941.3996046167</v>
      </c>
    </row>
    <row r="32" spans="2:23">
      <c r="B32" s="228"/>
      <c r="C32" s="229" t="s">
        <v>76</v>
      </c>
      <c r="D32" s="227" t="s">
        <v>59</v>
      </c>
      <c r="E32" s="167">
        <v>0</v>
      </c>
      <c r="F32" s="183">
        <v>0</v>
      </c>
      <c r="G32" s="102">
        <f t="shared" si="12"/>
        <v>0</v>
      </c>
      <c r="H32" s="102">
        <f t="shared" si="11"/>
        <v>0</v>
      </c>
      <c r="I32" s="102">
        <f t="shared" si="11"/>
        <v>0</v>
      </c>
      <c r="J32" s="102">
        <f t="shared" si="11"/>
        <v>0</v>
      </c>
      <c r="K32" s="102">
        <f t="shared" si="11"/>
        <v>0</v>
      </c>
      <c r="L32" s="102">
        <f t="shared" si="11"/>
        <v>0</v>
      </c>
      <c r="M32" s="102">
        <f t="shared" si="11"/>
        <v>0</v>
      </c>
      <c r="N32" s="102">
        <f t="shared" si="11"/>
        <v>0</v>
      </c>
      <c r="O32" s="102">
        <f t="shared" si="11"/>
        <v>0</v>
      </c>
      <c r="P32" s="102">
        <f t="shared" si="11"/>
        <v>0</v>
      </c>
      <c r="Q32" s="102">
        <f t="shared" si="11"/>
        <v>0</v>
      </c>
      <c r="R32" s="102">
        <f t="shared" si="11"/>
        <v>0</v>
      </c>
      <c r="S32" s="102">
        <f t="shared" si="11"/>
        <v>0</v>
      </c>
      <c r="T32" s="102">
        <f t="shared" si="11"/>
        <v>0</v>
      </c>
      <c r="U32" s="102">
        <f t="shared" si="11"/>
        <v>0</v>
      </c>
      <c r="V32" s="102">
        <f t="shared" si="11"/>
        <v>0</v>
      </c>
      <c r="W32" s="102">
        <f t="shared" si="11"/>
        <v>0</v>
      </c>
    </row>
    <row r="33" spans="2:23">
      <c r="B33" s="228" t="s">
        <v>77</v>
      </c>
      <c r="C33" s="229" t="s">
        <v>78</v>
      </c>
      <c r="D33" s="227" t="s">
        <v>59</v>
      </c>
      <c r="E33" s="167">
        <v>2456797.5</v>
      </c>
      <c r="F33" s="215">
        <v>2672019.2400000002</v>
      </c>
      <c r="G33" s="102">
        <f t="shared" si="12"/>
        <v>2805620.202</v>
      </c>
      <c r="H33" s="102">
        <f t="shared" si="11"/>
        <v>2945901.2121000001</v>
      </c>
      <c r="I33" s="102">
        <f t="shared" si="11"/>
        <v>3093196.2727049999</v>
      </c>
      <c r="J33" s="102">
        <f t="shared" si="11"/>
        <v>3247856.08634025</v>
      </c>
      <c r="K33" s="102">
        <f t="shared" si="11"/>
        <v>3410248.8906572624</v>
      </c>
      <c r="L33" s="102">
        <f t="shared" si="11"/>
        <v>3580761.3351901257</v>
      </c>
      <c r="M33" s="102">
        <f t="shared" si="11"/>
        <v>3759799.401949632</v>
      </c>
      <c r="N33" s="102">
        <f t="shared" si="11"/>
        <v>3947789.3720471137</v>
      </c>
      <c r="O33" s="102">
        <f t="shared" si="11"/>
        <v>4145178.8406494693</v>
      </c>
      <c r="P33" s="102">
        <f t="shared" si="11"/>
        <v>4352437.7826819429</v>
      </c>
      <c r="Q33" s="102">
        <f t="shared" si="11"/>
        <v>4570059.6718160398</v>
      </c>
      <c r="R33" s="102">
        <f t="shared" si="11"/>
        <v>4798562.655406842</v>
      </c>
      <c r="S33" s="102">
        <f t="shared" si="11"/>
        <v>5038490.7881771838</v>
      </c>
      <c r="T33" s="102">
        <f t="shared" si="11"/>
        <v>5290415.3275860427</v>
      </c>
      <c r="U33" s="102">
        <f t="shared" si="11"/>
        <v>5554936.0939653451</v>
      </c>
      <c r="V33" s="102">
        <f t="shared" si="11"/>
        <v>5832682.8986636121</v>
      </c>
      <c r="W33" s="102">
        <f t="shared" si="11"/>
        <v>6124317.043596793</v>
      </c>
    </row>
    <row r="34" spans="2:23">
      <c r="B34" s="228" t="s">
        <v>79</v>
      </c>
      <c r="C34" s="230" t="s">
        <v>80</v>
      </c>
      <c r="D34" s="227" t="s">
        <v>59</v>
      </c>
      <c r="E34" s="167">
        <v>578047.16</v>
      </c>
      <c r="F34" s="215">
        <v>689629.05</v>
      </c>
      <c r="G34" s="102">
        <f t="shared" si="12"/>
        <v>724110.50250000006</v>
      </c>
      <c r="H34" s="102">
        <f t="shared" si="11"/>
        <v>760316.0276250001</v>
      </c>
      <c r="I34" s="102">
        <f t="shared" si="11"/>
        <v>798331.82900625013</v>
      </c>
      <c r="J34" s="102">
        <f t="shared" si="11"/>
        <v>838248.42045656266</v>
      </c>
      <c r="K34" s="102">
        <f t="shared" si="11"/>
        <v>880160.84147939074</v>
      </c>
      <c r="L34" s="102">
        <f t="shared" si="11"/>
        <v>924168.88355336024</v>
      </c>
      <c r="M34" s="102">
        <f t="shared" si="11"/>
        <v>970377.3277310282</v>
      </c>
      <c r="N34" s="102">
        <f t="shared" si="11"/>
        <v>1018896.1941175796</v>
      </c>
      <c r="O34" s="102">
        <f t="shared" si="11"/>
        <v>1069841.0038234587</v>
      </c>
      <c r="P34" s="102">
        <f t="shared" si="11"/>
        <v>1123333.0540146315</v>
      </c>
      <c r="Q34" s="102">
        <f t="shared" si="11"/>
        <v>1179499.7067153631</v>
      </c>
      <c r="R34" s="102">
        <f t="shared" si="11"/>
        <v>1238474.6920511313</v>
      </c>
      <c r="S34" s="102">
        <f t="shared" si="11"/>
        <v>1300398.4266536878</v>
      </c>
      <c r="T34" s="102">
        <f t="shared" si="11"/>
        <v>1365418.3479863722</v>
      </c>
      <c r="U34" s="102">
        <f t="shared" si="11"/>
        <v>1433689.2653856908</v>
      </c>
      <c r="V34" s="102">
        <f t="shared" si="11"/>
        <v>1505373.7286549753</v>
      </c>
      <c r="W34" s="102">
        <f t="shared" si="11"/>
        <v>1580642.4150877241</v>
      </c>
    </row>
    <row r="35" spans="2:23">
      <c r="B35" s="228" t="s">
        <v>81</v>
      </c>
      <c r="C35" s="229" t="s">
        <v>82</v>
      </c>
      <c r="D35" s="227" t="s">
        <v>59</v>
      </c>
      <c r="E35" s="167">
        <v>783939.51</v>
      </c>
      <c r="F35" s="215">
        <v>718486.45</v>
      </c>
      <c r="G35" s="102">
        <f t="shared" si="12"/>
        <v>754410.77249999996</v>
      </c>
      <c r="H35" s="102">
        <f t="shared" si="11"/>
        <v>792131.31112500001</v>
      </c>
      <c r="I35" s="102">
        <f t="shared" si="11"/>
        <v>831737.87668125005</v>
      </c>
      <c r="J35" s="102">
        <f t="shared" si="11"/>
        <v>873324.77051531256</v>
      </c>
      <c r="K35" s="102">
        <f t="shared" si="11"/>
        <v>916991.00904107816</v>
      </c>
      <c r="L35" s="102">
        <f t="shared" si="11"/>
        <v>962840.55949313205</v>
      </c>
      <c r="M35" s="102">
        <f t="shared" si="11"/>
        <v>1010982.5874677887</v>
      </c>
      <c r="N35" s="102">
        <f t="shared" si="11"/>
        <v>1061531.7168411782</v>
      </c>
      <c r="O35" s="102">
        <f t="shared" si="11"/>
        <v>1114608.3026832372</v>
      </c>
      <c r="P35" s="102">
        <f t="shared" si="11"/>
        <v>1170338.7178173992</v>
      </c>
      <c r="Q35" s="102">
        <f t="shared" si="11"/>
        <v>1228855.6537082691</v>
      </c>
      <c r="R35" s="102">
        <f t="shared" si="11"/>
        <v>1290298.4363936826</v>
      </c>
      <c r="S35" s="102">
        <f t="shared" si="11"/>
        <v>1354813.3582133667</v>
      </c>
      <c r="T35" s="102">
        <f t="shared" si="11"/>
        <v>1422554.026124035</v>
      </c>
      <c r="U35" s="102">
        <f t="shared" si="11"/>
        <v>1493681.7274302368</v>
      </c>
      <c r="V35" s="102">
        <f t="shared" si="11"/>
        <v>1568365.8138017487</v>
      </c>
      <c r="W35" s="102">
        <f t="shared" si="11"/>
        <v>1646784.1044918362</v>
      </c>
    </row>
    <row r="36" spans="2:23">
      <c r="B36" s="228" t="s">
        <v>83</v>
      </c>
      <c r="C36" s="230" t="s">
        <v>84</v>
      </c>
      <c r="D36" s="227" t="s">
        <v>59</v>
      </c>
      <c r="E36" s="167">
        <v>124905.4</v>
      </c>
      <c r="F36" s="215">
        <v>123027.47</v>
      </c>
      <c r="G36" s="102">
        <f t="shared" si="12"/>
        <v>129178.8435</v>
      </c>
      <c r="H36" s="102">
        <f t="shared" si="11"/>
        <v>135637.78567499999</v>
      </c>
      <c r="I36" s="102">
        <f t="shared" si="11"/>
        <v>142419.67495874999</v>
      </c>
      <c r="J36" s="102">
        <f t="shared" si="11"/>
        <v>149540.65870668751</v>
      </c>
      <c r="K36" s="102">
        <f t="shared" si="11"/>
        <v>157017.69164202188</v>
      </c>
      <c r="L36" s="102">
        <f t="shared" si="11"/>
        <v>164868.57622412298</v>
      </c>
      <c r="M36" s="102">
        <f t="shared" si="11"/>
        <v>173112.00503532914</v>
      </c>
      <c r="N36" s="102">
        <f t="shared" si="11"/>
        <v>181767.60528709559</v>
      </c>
      <c r="O36" s="102">
        <f t="shared" si="11"/>
        <v>190855.98555145037</v>
      </c>
      <c r="P36" s="102">
        <f t="shared" si="11"/>
        <v>200398.78482902289</v>
      </c>
      <c r="Q36" s="102">
        <f t="shared" si="11"/>
        <v>210418.72407047404</v>
      </c>
      <c r="R36" s="102">
        <f t="shared" si="11"/>
        <v>220939.66027399775</v>
      </c>
      <c r="S36" s="102">
        <f t="shared" si="11"/>
        <v>231986.64328769763</v>
      </c>
      <c r="T36" s="102">
        <f t="shared" si="11"/>
        <v>243585.97545208252</v>
      </c>
      <c r="U36" s="102">
        <f t="shared" si="11"/>
        <v>255765.27422468664</v>
      </c>
      <c r="V36" s="102">
        <f t="shared" si="11"/>
        <v>268553.53793592099</v>
      </c>
      <c r="W36" s="102">
        <f t="shared" si="11"/>
        <v>281981.21483271703</v>
      </c>
    </row>
    <row r="37" spans="2:23">
      <c r="B37" s="225" t="s">
        <v>85</v>
      </c>
      <c r="C37" s="231" t="s">
        <v>86</v>
      </c>
      <c r="D37" s="227" t="s">
        <v>59</v>
      </c>
      <c r="E37" s="166">
        <f>E21-E27</f>
        <v>-94761.929999999702</v>
      </c>
      <c r="F37" s="166">
        <f>F21-F27</f>
        <v>-56470.770000001416</v>
      </c>
      <c r="G37" s="166">
        <f>G21-G27</f>
        <v>63330.078499998897</v>
      </c>
      <c r="H37" s="166">
        <f t="shared" ref="H37:W37" si="15">H21-H27</f>
        <v>-726411.65857632086</v>
      </c>
      <c r="I37" s="166">
        <f t="shared" si="15"/>
        <v>252459.62641368434</v>
      </c>
      <c r="J37" s="166">
        <f t="shared" si="15"/>
        <v>370217.69153849222</v>
      </c>
      <c r="K37" s="166">
        <f t="shared" si="15"/>
        <v>488606.90572933666</v>
      </c>
      <c r="L37" s="166">
        <f t="shared" si="15"/>
        <v>607921.66414903104</v>
      </c>
      <c r="M37" s="166">
        <f t="shared" si="15"/>
        <v>728457.93983304128</v>
      </c>
      <c r="N37" s="166">
        <f t="shared" si="15"/>
        <v>850514.01967742667</v>
      </c>
      <c r="O37" s="166">
        <f t="shared" si="15"/>
        <v>974391.2443713937</v>
      </c>
      <c r="P37" s="166">
        <f t="shared" si="15"/>
        <v>1100394.7541145552</v>
      </c>
      <c r="Q37" s="166">
        <f t="shared" si="15"/>
        <v>1228834.2419686411</v>
      </c>
      <c r="R37" s="166">
        <f t="shared" si="15"/>
        <v>1360024.7167080194</v>
      </c>
      <c r="S37" s="166">
        <f t="shared" si="15"/>
        <v>1494287.2770523243</v>
      </c>
      <c r="T37" s="166">
        <f t="shared" si="15"/>
        <v>1631949.8991883919</v>
      </c>
      <c r="U37" s="166">
        <f t="shared" si="15"/>
        <v>1773348.239517089</v>
      </c>
      <c r="V37" s="166">
        <f t="shared" si="15"/>
        <v>1918826.4545937553</v>
      </c>
      <c r="W37" s="166">
        <f t="shared" si="15"/>
        <v>2068738.0402692221</v>
      </c>
    </row>
    <row r="38" spans="2:23">
      <c r="B38" s="225" t="s">
        <v>87</v>
      </c>
      <c r="C38" s="231" t="s">
        <v>88</v>
      </c>
      <c r="D38" s="227" t="s">
        <v>59</v>
      </c>
      <c r="E38" s="166">
        <f>SUM(E39:E41)</f>
        <v>170891.85</v>
      </c>
      <c r="F38" s="166">
        <f>SUM(F39:F41)</f>
        <v>795995.63</v>
      </c>
      <c r="G38" s="166">
        <f>SUM(G39:G41)</f>
        <v>835795.41149999993</v>
      </c>
      <c r="H38" s="166">
        <f t="shared" ref="H38:W38" si="16">SUM(H39:H41)</f>
        <v>1643946.3794286205</v>
      </c>
      <c r="I38" s="166">
        <f t="shared" si="16"/>
        <v>921464.44117875001</v>
      </c>
      <c r="J38" s="166">
        <f t="shared" si="16"/>
        <v>967537.66323768755</v>
      </c>
      <c r="K38" s="166">
        <f t="shared" si="16"/>
        <v>1015914.5463995719</v>
      </c>
      <c r="L38" s="166">
        <f t="shared" si="16"/>
        <v>1066710.2737195506</v>
      </c>
      <c r="M38" s="166">
        <f t="shared" si="16"/>
        <v>1120045.7874055281</v>
      </c>
      <c r="N38" s="166">
        <f t="shared" si="16"/>
        <v>1176048.0767758044</v>
      </c>
      <c r="O38" s="166">
        <f t="shared" si="16"/>
        <v>1234850.4806145946</v>
      </c>
      <c r="P38" s="166">
        <f t="shared" si="16"/>
        <v>1296593.0046453243</v>
      </c>
      <c r="Q38" s="166">
        <f t="shared" si="16"/>
        <v>1361422.6548775905</v>
      </c>
      <c r="R38" s="166">
        <f t="shared" si="16"/>
        <v>1429493.7876214702</v>
      </c>
      <c r="S38" s="166">
        <f t="shared" si="16"/>
        <v>1500968.4770025436</v>
      </c>
      <c r="T38" s="166">
        <f t="shared" si="16"/>
        <v>1576016.9008526709</v>
      </c>
      <c r="U38" s="166">
        <f t="shared" si="16"/>
        <v>1654817.7458953043</v>
      </c>
      <c r="V38" s="166">
        <f t="shared" si="16"/>
        <v>1737558.6331900693</v>
      </c>
      <c r="W38" s="166">
        <f t="shared" si="16"/>
        <v>1824436.5648495727</v>
      </c>
    </row>
    <row r="39" spans="2:23">
      <c r="B39" s="228" t="s">
        <v>61</v>
      </c>
      <c r="C39" s="230" t="s">
        <v>89</v>
      </c>
      <c r="D39" s="227" t="s">
        <v>59</v>
      </c>
      <c r="E39" s="167">
        <v>0</v>
      </c>
      <c r="F39" s="215">
        <v>23383.77</v>
      </c>
      <c r="G39" s="102">
        <f t="shared" si="12"/>
        <v>24552.958500000001</v>
      </c>
      <c r="H39" s="102">
        <f t="shared" ref="H39:W54" si="17">G39+G39*0.05</f>
        <v>25780.606425000002</v>
      </c>
      <c r="I39" s="102">
        <f t="shared" si="17"/>
        <v>27069.636746250002</v>
      </c>
      <c r="J39" s="102">
        <f t="shared" si="17"/>
        <v>28423.118583562504</v>
      </c>
      <c r="K39" s="102">
        <f t="shared" si="17"/>
        <v>29844.274512740631</v>
      </c>
      <c r="L39" s="102">
        <f t="shared" si="17"/>
        <v>31336.488238377664</v>
      </c>
      <c r="M39" s="102">
        <f t="shared" si="17"/>
        <v>32903.312650296546</v>
      </c>
      <c r="N39" s="102">
        <f t="shared" si="17"/>
        <v>34548.478282811375</v>
      </c>
      <c r="O39" s="102">
        <f t="shared" si="17"/>
        <v>36275.902196951945</v>
      </c>
      <c r="P39" s="102">
        <f t="shared" si="17"/>
        <v>38089.697306799542</v>
      </c>
      <c r="Q39" s="102">
        <f t="shared" si="17"/>
        <v>39994.182172139517</v>
      </c>
      <c r="R39" s="102">
        <f t="shared" si="17"/>
        <v>41993.891280746495</v>
      </c>
      <c r="S39" s="102">
        <f t="shared" si="17"/>
        <v>44093.585844783818</v>
      </c>
      <c r="T39" s="102">
        <f t="shared" si="17"/>
        <v>46298.265137023009</v>
      </c>
      <c r="U39" s="102">
        <f t="shared" si="17"/>
        <v>48613.178393874157</v>
      </c>
      <c r="V39" s="102">
        <f t="shared" si="17"/>
        <v>51043.837313567863</v>
      </c>
      <c r="W39" s="102">
        <f t="shared" si="17"/>
        <v>53596.029179246259</v>
      </c>
    </row>
    <row r="40" spans="2:23">
      <c r="B40" s="228" t="s">
        <v>63</v>
      </c>
      <c r="C40" s="229" t="s">
        <v>90</v>
      </c>
      <c r="D40" s="227" t="s">
        <v>59</v>
      </c>
      <c r="E40" s="167">
        <v>0</v>
      </c>
      <c r="F40" s="215">
        <v>0</v>
      </c>
      <c r="G40" s="102">
        <f t="shared" si="12"/>
        <v>0</v>
      </c>
      <c r="H40" s="102">
        <f>M14</f>
        <v>766361.19735362031</v>
      </c>
      <c r="I40" s="102">
        <v>0</v>
      </c>
      <c r="J40" s="102">
        <f t="shared" si="17"/>
        <v>0</v>
      </c>
      <c r="K40" s="102">
        <f t="shared" si="17"/>
        <v>0</v>
      </c>
      <c r="L40" s="102">
        <f t="shared" si="17"/>
        <v>0</v>
      </c>
      <c r="M40" s="102">
        <f t="shared" si="17"/>
        <v>0</v>
      </c>
      <c r="N40" s="102">
        <f t="shared" si="17"/>
        <v>0</v>
      </c>
      <c r="O40" s="102">
        <f t="shared" si="17"/>
        <v>0</v>
      </c>
      <c r="P40" s="102">
        <f t="shared" si="17"/>
        <v>0</v>
      </c>
      <c r="Q40" s="102">
        <f t="shared" si="17"/>
        <v>0</v>
      </c>
      <c r="R40" s="102">
        <f t="shared" si="17"/>
        <v>0</v>
      </c>
      <c r="S40" s="102">
        <f t="shared" si="17"/>
        <v>0</v>
      </c>
      <c r="T40" s="102">
        <f t="shared" si="17"/>
        <v>0</v>
      </c>
      <c r="U40" s="102">
        <f t="shared" si="17"/>
        <v>0</v>
      </c>
      <c r="V40" s="102">
        <f t="shared" si="17"/>
        <v>0</v>
      </c>
      <c r="W40" s="102">
        <f t="shared" si="17"/>
        <v>0</v>
      </c>
    </row>
    <row r="41" spans="2:23">
      <c r="B41" s="228" t="s">
        <v>65</v>
      </c>
      <c r="C41" s="229" t="s">
        <v>91</v>
      </c>
      <c r="D41" s="227" t="s">
        <v>59</v>
      </c>
      <c r="E41" s="167">
        <v>170891.85</v>
      </c>
      <c r="F41" s="215">
        <v>772611.86</v>
      </c>
      <c r="G41" s="102">
        <f t="shared" si="12"/>
        <v>811242.45299999998</v>
      </c>
      <c r="H41" s="102">
        <f t="shared" si="17"/>
        <v>851804.57565000001</v>
      </c>
      <c r="I41" s="102">
        <f t="shared" si="17"/>
        <v>894394.80443250004</v>
      </c>
      <c r="J41" s="102">
        <f t="shared" si="17"/>
        <v>939114.544654125</v>
      </c>
      <c r="K41" s="102">
        <f t="shared" si="17"/>
        <v>986070.27188683127</v>
      </c>
      <c r="L41" s="102">
        <f t="shared" si="17"/>
        <v>1035373.7854811728</v>
      </c>
      <c r="M41" s="102">
        <f t="shared" si="17"/>
        <v>1087142.4747552315</v>
      </c>
      <c r="N41" s="102">
        <f t="shared" si="17"/>
        <v>1141499.598492993</v>
      </c>
      <c r="O41" s="102">
        <f t="shared" si="17"/>
        <v>1198574.5784176427</v>
      </c>
      <c r="P41" s="102">
        <f t="shared" si="17"/>
        <v>1258503.3073385248</v>
      </c>
      <c r="Q41" s="102">
        <f t="shared" si="17"/>
        <v>1321428.4727054511</v>
      </c>
      <c r="R41" s="102">
        <f t="shared" si="17"/>
        <v>1387499.8963407236</v>
      </c>
      <c r="S41" s="102">
        <f t="shared" si="17"/>
        <v>1456874.8911577598</v>
      </c>
      <c r="T41" s="102">
        <f t="shared" si="17"/>
        <v>1529718.6357156478</v>
      </c>
      <c r="U41" s="102">
        <f t="shared" si="17"/>
        <v>1606204.5675014302</v>
      </c>
      <c r="V41" s="102">
        <f t="shared" si="17"/>
        <v>1686514.7958765016</v>
      </c>
      <c r="W41" s="102">
        <f t="shared" si="17"/>
        <v>1770840.5356703266</v>
      </c>
    </row>
    <row r="42" spans="2:23">
      <c r="B42" s="225" t="s">
        <v>92</v>
      </c>
      <c r="C42" s="231" t="s">
        <v>93</v>
      </c>
      <c r="D42" s="227" t="s">
        <v>59</v>
      </c>
      <c r="E42" s="166">
        <f>SUM(E43:E45)</f>
        <v>47154.469999999994</v>
      </c>
      <c r="F42" s="166">
        <f>SUM(F43:F45)</f>
        <v>109613.98</v>
      </c>
      <c r="G42" s="166">
        <f>SUM(G43:G45)</f>
        <v>115094.679</v>
      </c>
      <c r="H42" s="166">
        <f t="shared" ref="H42:W42" si="18">SUM(H43:H45)</f>
        <v>120849.41295</v>
      </c>
      <c r="I42" s="166">
        <f t="shared" si="18"/>
        <v>126891.8835975</v>
      </c>
      <c r="J42" s="166">
        <f t="shared" si="18"/>
        <v>133236.477777375</v>
      </c>
      <c r="K42" s="166">
        <f t="shared" si="18"/>
        <v>139898.30166624376</v>
      </c>
      <c r="L42" s="166">
        <f t="shared" si="18"/>
        <v>146893.21674955596</v>
      </c>
      <c r="M42" s="166">
        <f t="shared" si="18"/>
        <v>154237.87758703376</v>
      </c>
      <c r="N42" s="166">
        <f t="shared" si="18"/>
        <v>161949.77146638546</v>
      </c>
      <c r="O42" s="166">
        <f t="shared" si="18"/>
        <v>170047.26003970474</v>
      </c>
      <c r="P42" s="166">
        <f t="shared" si="18"/>
        <v>178549.62304168998</v>
      </c>
      <c r="Q42" s="166">
        <f t="shared" si="18"/>
        <v>187477.10419377449</v>
      </c>
      <c r="R42" s="166">
        <f t="shared" si="18"/>
        <v>196850.9594034632</v>
      </c>
      <c r="S42" s="166">
        <f t="shared" si="18"/>
        <v>206693.50737363636</v>
      </c>
      <c r="T42" s="166">
        <f t="shared" si="18"/>
        <v>217028.18274231817</v>
      </c>
      <c r="U42" s="166">
        <f t="shared" si="18"/>
        <v>227879.59187943407</v>
      </c>
      <c r="V42" s="166">
        <f t="shared" si="18"/>
        <v>239273.57147340578</v>
      </c>
      <c r="W42" s="166">
        <f t="shared" si="18"/>
        <v>251237.25004707609</v>
      </c>
    </row>
    <row r="43" spans="2:23">
      <c r="B43" s="228" t="s">
        <v>61</v>
      </c>
      <c r="C43" s="230" t="s">
        <v>94</v>
      </c>
      <c r="D43" s="227" t="s">
        <v>59</v>
      </c>
      <c r="E43" s="167">
        <v>1505.84</v>
      </c>
      <c r="F43" s="183">
        <v>0</v>
      </c>
      <c r="G43" s="102">
        <f t="shared" si="12"/>
        <v>0</v>
      </c>
      <c r="H43" s="102">
        <f t="shared" si="17"/>
        <v>0</v>
      </c>
      <c r="I43" s="102">
        <f t="shared" si="17"/>
        <v>0</v>
      </c>
      <c r="J43" s="102">
        <f t="shared" si="17"/>
        <v>0</v>
      </c>
      <c r="K43" s="102">
        <f t="shared" si="17"/>
        <v>0</v>
      </c>
      <c r="L43" s="102">
        <f t="shared" si="17"/>
        <v>0</v>
      </c>
      <c r="M43" s="102">
        <f t="shared" si="17"/>
        <v>0</v>
      </c>
      <c r="N43" s="102">
        <f t="shared" si="17"/>
        <v>0</v>
      </c>
      <c r="O43" s="102">
        <f t="shared" si="17"/>
        <v>0</v>
      </c>
      <c r="P43" s="102">
        <f t="shared" si="17"/>
        <v>0</v>
      </c>
      <c r="Q43" s="102">
        <f t="shared" si="17"/>
        <v>0</v>
      </c>
      <c r="R43" s="102">
        <f t="shared" si="17"/>
        <v>0</v>
      </c>
      <c r="S43" s="102">
        <f t="shared" si="17"/>
        <v>0</v>
      </c>
      <c r="T43" s="102">
        <f t="shared" si="17"/>
        <v>0</v>
      </c>
      <c r="U43" s="102">
        <f t="shared" si="17"/>
        <v>0</v>
      </c>
      <c r="V43" s="102">
        <f t="shared" si="17"/>
        <v>0</v>
      </c>
      <c r="W43" s="102">
        <f t="shared" si="17"/>
        <v>0</v>
      </c>
    </row>
    <row r="44" spans="2:23">
      <c r="B44" s="228" t="s">
        <v>63</v>
      </c>
      <c r="C44" s="230" t="s">
        <v>95</v>
      </c>
      <c r="D44" s="227" t="s">
        <v>59</v>
      </c>
      <c r="E44" s="167">
        <v>0</v>
      </c>
      <c r="F44" s="215">
        <v>0</v>
      </c>
      <c r="G44" s="102">
        <f t="shared" si="12"/>
        <v>0</v>
      </c>
      <c r="H44" s="102">
        <f t="shared" si="17"/>
        <v>0</v>
      </c>
      <c r="I44" s="102">
        <f t="shared" si="17"/>
        <v>0</v>
      </c>
      <c r="J44" s="102">
        <f t="shared" si="17"/>
        <v>0</v>
      </c>
      <c r="K44" s="102">
        <f t="shared" si="17"/>
        <v>0</v>
      </c>
      <c r="L44" s="102">
        <f t="shared" si="17"/>
        <v>0</v>
      </c>
      <c r="M44" s="102">
        <f t="shared" si="17"/>
        <v>0</v>
      </c>
      <c r="N44" s="102">
        <f t="shared" si="17"/>
        <v>0</v>
      </c>
      <c r="O44" s="102">
        <f t="shared" si="17"/>
        <v>0</v>
      </c>
      <c r="P44" s="102">
        <f t="shared" si="17"/>
        <v>0</v>
      </c>
      <c r="Q44" s="102">
        <f t="shared" si="17"/>
        <v>0</v>
      </c>
      <c r="R44" s="102">
        <f t="shared" si="17"/>
        <v>0</v>
      </c>
      <c r="S44" s="102">
        <f t="shared" si="17"/>
        <v>0</v>
      </c>
      <c r="T44" s="102">
        <f t="shared" si="17"/>
        <v>0</v>
      </c>
      <c r="U44" s="102">
        <f t="shared" si="17"/>
        <v>0</v>
      </c>
      <c r="V44" s="102">
        <f t="shared" si="17"/>
        <v>0</v>
      </c>
      <c r="W44" s="102">
        <f t="shared" si="17"/>
        <v>0</v>
      </c>
    </row>
    <row r="45" spans="2:23">
      <c r="B45" s="228" t="s">
        <v>65</v>
      </c>
      <c r="C45" s="229" t="s">
        <v>96</v>
      </c>
      <c r="D45" s="227" t="s">
        <v>59</v>
      </c>
      <c r="E45" s="167">
        <v>45648.63</v>
      </c>
      <c r="F45" s="215">
        <v>109613.98</v>
      </c>
      <c r="G45" s="102">
        <f t="shared" si="12"/>
        <v>115094.679</v>
      </c>
      <c r="H45" s="102">
        <f t="shared" si="17"/>
        <v>120849.41295</v>
      </c>
      <c r="I45" s="102">
        <f t="shared" si="17"/>
        <v>126891.8835975</v>
      </c>
      <c r="J45" s="102">
        <f t="shared" si="17"/>
        <v>133236.477777375</v>
      </c>
      <c r="K45" s="102">
        <f t="shared" si="17"/>
        <v>139898.30166624376</v>
      </c>
      <c r="L45" s="102">
        <f t="shared" si="17"/>
        <v>146893.21674955596</v>
      </c>
      <c r="M45" s="102">
        <f t="shared" si="17"/>
        <v>154237.87758703376</v>
      </c>
      <c r="N45" s="102">
        <f t="shared" si="17"/>
        <v>161949.77146638546</v>
      </c>
      <c r="O45" s="102">
        <f t="shared" si="17"/>
        <v>170047.26003970474</v>
      </c>
      <c r="P45" s="102">
        <f t="shared" si="17"/>
        <v>178549.62304168998</v>
      </c>
      <c r="Q45" s="102">
        <f t="shared" si="17"/>
        <v>187477.10419377449</v>
      </c>
      <c r="R45" s="102">
        <f t="shared" si="17"/>
        <v>196850.9594034632</v>
      </c>
      <c r="S45" s="102">
        <f t="shared" si="17"/>
        <v>206693.50737363636</v>
      </c>
      <c r="T45" s="102">
        <f t="shared" si="17"/>
        <v>217028.18274231817</v>
      </c>
      <c r="U45" s="102">
        <f t="shared" si="17"/>
        <v>227879.59187943407</v>
      </c>
      <c r="V45" s="102">
        <f t="shared" si="17"/>
        <v>239273.57147340578</v>
      </c>
      <c r="W45" s="102">
        <f t="shared" si="17"/>
        <v>251237.25004707609</v>
      </c>
    </row>
    <row r="46" spans="2:23">
      <c r="B46" s="225" t="s">
        <v>97</v>
      </c>
      <c r="C46" s="226" t="s">
        <v>98</v>
      </c>
      <c r="D46" s="227" t="s">
        <v>59</v>
      </c>
      <c r="E46" s="166">
        <f>E37+E38-E42</f>
        <v>28975.45000000031</v>
      </c>
      <c r="F46" s="166">
        <f>F37+F38-F42</f>
        <v>629910.87999999861</v>
      </c>
      <c r="G46" s="166">
        <f>G37+G38-G42</f>
        <v>784030.81099999882</v>
      </c>
      <c r="H46" s="166">
        <f t="shared" ref="H46:W46" si="19">H37+H38-H42</f>
        <v>796685.30790229957</v>
      </c>
      <c r="I46" s="166">
        <f t="shared" si="19"/>
        <v>1047032.1839949343</v>
      </c>
      <c r="J46" s="166">
        <f t="shared" si="19"/>
        <v>1204518.876998805</v>
      </c>
      <c r="K46" s="166">
        <f t="shared" si="19"/>
        <v>1364623.1504626649</v>
      </c>
      <c r="L46" s="166">
        <f t="shared" si="19"/>
        <v>1527738.7211190257</v>
      </c>
      <c r="M46" s="166">
        <f t="shared" si="19"/>
        <v>1694265.8496515357</v>
      </c>
      <c r="N46" s="166">
        <f t="shared" si="19"/>
        <v>1864612.3249868457</v>
      </c>
      <c r="O46" s="166">
        <f t="shared" si="19"/>
        <v>2039194.4649462835</v>
      </c>
      <c r="P46" s="166">
        <f t="shared" si="19"/>
        <v>2218438.1357181896</v>
      </c>
      <c r="Q46" s="166">
        <f t="shared" si="19"/>
        <v>2402779.792652457</v>
      </c>
      <c r="R46" s="166">
        <f t="shared" si="19"/>
        <v>2592667.5449260264</v>
      </c>
      <c r="S46" s="166">
        <f t="shared" si="19"/>
        <v>2788562.2466812311</v>
      </c>
      <c r="T46" s="166">
        <f t="shared" si="19"/>
        <v>2990938.6172987446</v>
      </c>
      <c r="U46" s="166">
        <f t="shared" si="19"/>
        <v>3200286.3935329593</v>
      </c>
      <c r="V46" s="166">
        <f t="shared" si="19"/>
        <v>3417111.516310419</v>
      </c>
      <c r="W46" s="166">
        <f t="shared" si="19"/>
        <v>3641937.3550717188</v>
      </c>
    </row>
    <row r="47" spans="2:23">
      <c r="B47" s="225" t="s">
        <v>99</v>
      </c>
      <c r="C47" s="231" t="s">
        <v>100</v>
      </c>
      <c r="D47" s="227" t="s">
        <v>59</v>
      </c>
      <c r="E47" s="166">
        <f>SUM(E48:E54)</f>
        <v>85367.97</v>
      </c>
      <c r="F47" s="166">
        <f>SUM(F48:F54)</f>
        <v>38286.21</v>
      </c>
      <c r="G47" s="166">
        <f>SUM(G48:G54)</f>
        <v>40200.520499999999</v>
      </c>
      <c r="H47" s="166">
        <f t="shared" ref="H47:W47" si="20">SUM(H48:H54)</f>
        <v>42210.546524999998</v>
      </c>
      <c r="I47" s="166">
        <f t="shared" si="20"/>
        <v>44321.073851249996</v>
      </c>
      <c r="J47" s="166">
        <f t="shared" si="20"/>
        <v>46537.127543812494</v>
      </c>
      <c r="K47" s="166">
        <f t="shared" si="20"/>
        <v>48863.98392100312</v>
      </c>
      <c r="L47" s="166">
        <f t="shared" si="20"/>
        <v>51307.183117053275</v>
      </c>
      <c r="M47" s="166">
        <f t="shared" si="20"/>
        <v>53872.542272905936</v>
      </c>
      <c r="N47" s="166">
        <f t="shared" si="20"/>
        <v>56566.169386551235</v>
      </c>
      <c r="O47" s="166">
        <f t="shared" si="20"/>
        <v>59394.477855878795</v>
      </c>
      <c r="P47" s="166">
        <f t="shared" si="20"/>
        <v>62364.201748672735</v>
      </c>
      <c r="Q47" s="166">
        <f t="shared" si="20"/>
        <v>65482.411836106374</v>
      </c>
      <c r="R47" s="166">
        <f t="shared" si="20"/>
        <v>68756.53242791169</v>
      </c>
      <c r="S47" s="166">
        <f t="shared" si="20"/>
        <v>72194.35904930727</v>
      </c>
      <c r="T47" s="166">
        <f t="shared" si="20"/>
        <v>75804.077001772632</v>
      </c>
      <c r="U47" s="166">
        <f t="shared" si="20"/>
        <v>79594.280851861258</v>
      </c>
      <c r="V47" s="166">
        <f t="shared" si="20"/>
        <v>83573.994894454314</v>
      </c>
      <c r="W47" s="166">
        <f t="shared" si="20"/>
        <v>87752.694639177033</v>
      </c>
    </row>
    <row r="48" spans="2:23">
      <c r="B48" s="228" t="s">
        <v>61</v>
      </c>
      <c r="C48" s="230" t="s">
        <v>101</v>
      </c>
      <c r="D48" s="227" t="s">
        <v>59</v>
      </c>
      <c r="E48" s="167">
        <v>0</v>
      </c>
      <c r="F48" s="215">
        <v>0</v>
      </c>
      <c r="G48" s="102">
        <f t="shared" si="12"/>
        <v>0</v>
      </c>
      <c r="H48" s="102">
        <f t="shared" si="17"/>
        <v>0</v>
      </c>
      <c r="I48" s="102">
        <f t="shared" si="17"/>
        <v>0</v>
      </c>
      <c r="J48" s="102">
        <f t="shared" si="17"/>
        <v>0</v>
      </c>
      <c r="K48" s="102">
        <f t="shared" si="17"/>
        <v>0</v>
      </c>
      <c r="L48" s="102">
        <f t="shared" si="17"/>
        <v>0</v>
      </c>
      <c r="M48" s="102">
        <f t="shared" si="17"/>
        <v>0</v>
      </c>
      <c r="N48" s="102">
        <f t="shared" si="17"/>
        <v>0</v>
      </c>
      <c r="O48" s="102">
        <f t="shared" si="17"/>
        <v>0</v>
      </c>
      <c r="P48" s="102">
        <f t="shared" si="17"/>
        <v>0</v>
      </c>
      <c r="Q48" s="102">
        <f t="shared" si="17"/>
        <v>0</v>
      </c>
      <c r="R48" s="102">
        <f t="shared" si="17"/>
        <v>0</v>
      </c>
      <c r="S48" s="102">
        <f t="shared" si="17"/>
        <v>0</v>
      </c>
      <c r="T48" s="102">
        <f t="shared" si="17"/>
        <v>0</v>
      </c>
      <c r="U48" s="102">
        <f t="shared" si="17"/>
        <v>0</v>
      </c>
      <c r="V48" s="102">
        <f t="shared" si="17"/>
        <v>0</v>
      </c>
      <c r="W48" s="102">
        <f t="shared" si="17"/>
        <v>0</v>
      </c>
    </row>
    <row r="49" spans="2:23">
      <c r="B49" s="228"/>
      <c r="C49" s="229" t="s">
        <v>60</v>
      </c>
      <c r="D49" s="227" t="s">
        <v>59</v>
      </c>
      <c r="E49" s="167">
        <v>0</v>
      </c>
      <c r="F49" s="215">
        <v>0</v>
      </c>
      <c r="G49" s="102">
        <f t="shared" si="12"/>
        <v>0</v>
      </c>
      <c r="H49" s="102">
        <f t="shared" si="17"/>
        <v>0</v>
      </c>
      <c r="I49" s="102">
        <f t="shared" si="17"/>
        <v>0</v>
      </c>
      <c r="J49" s="102">
        <f t="shared" si="17"/>
        <v>0</v>
      </c>
      <c r="K49" s="102">
        <f t="shared" si="17"/>
        <v>0</v>
      </c>
      <c r="L49" s="102">
        <f t="shared" si="17"/>
        <v>0</v>
      </c>
      <c r="M49" s="102">
        <f t="shared" si="17"/>
        <v>0</v>
      </c>
      <c r="N49" s="102">
        <f t="shared" si="17"/>
        <v>0</v>
      </c>
      <c r="O49" s="102">
        <f t="shared" si="17"/>
        <v>0</v>
      </c>
      <c r="P49" s="102">
        <f t="shared" si="17"/>
        <v>0</v>
      </c>
      <c r="Q49" s="102">
        <f t="shared" si="17"/>
        <v>0</v>
      </c>
      <c r="R49" s="102">
        <f t="shared" si="17"/>
        <v>0</v>
      </c>
      <c r="S49" s="102">
        <f t="shared" si="17"/>
        <v>0</v>
      </c>
      <c r="T49" s="102">
        <f t="shared" si="17"/>
        <v>0</v>
      </c>
      <c r="U49" s="102">
        <f t="shared" si="17"/>
        <v>0</v>
      </c>
      <c r="V49" s="102">
        <f t="shared" si="17"/>
        <v>0</v>
      </c>
      <c r="W49" s="102">
        <f t="shared" si="17"/>
        <v>0</v>
      </c>
    </row>
    <row r="50" spans="2:23">
      <c r="B50" s="228" t="s">
        <v>63</v>
      </c>
      <c r="C50" s="229" t="s">
        <v>102</v>
      </c>
      <c r="D50" s="227" t="s">
        <v>59</v>
      </c>
      <c r="E50" s="167">
        <v>85367.97</v>
      </c>
      <c r="F50" s="215">
        <v>38286.21</v>
      </c>
      <c r="G50" s="102">
        <f t="shared" si="12"/>
        <v>40200.520499999999</v>
      </c>
      <c r="H50" s="102">
        <f t="shared" si="17"/>
        <v>42210.546524999998</v>
      </c>
      <c r="I50" s="102">
        <f t="shared" si="17"/>
        <v>44321.073851249996</v>
      </c>
      <c r="J50" s="102">
        <f t="shared" si="17"/>
        <v>46537.127543812494</v>
      </c>
      <c r="K50" s="102">
        <f t="shared" si="17"/>
        <v>48863.98392100312</v>
      </c>
      <c r="L50" s="102">
        <f t="shared" si="17"/>
        <v>51307.183117053275</v>
      </c>
      <c r="M50" s="102">
        <f t="shared" si="17"/>
        <v>53872.542272905936</v>
      </c>
      <c r="N50" s="102">
        <f t="shared" si="17"/>
        <v>56566.169386551235</v>
      </c>
      <c r="O50" s="102">
        <f t="shared" si="17"/>
        <v>59394.477855878795</v>
      </c>
      <c r="P50" s="102">
        <f t="shared" si="17"/>
        <v>62364.201748672735</v>
      </c>
      <c r="Q50" s="102">
        <f t="shared" si="17"/>
        <v>65482.411836106374</v>
      </c>
      <c r="R50" s="102">
        <f t="shared" si="17"/>
        <v>68756.53242791169</v>
      </c>
      <c r="S50" s="102">
        <f t="shared" si="17"/>
        <v>72194.35904930727</v>
      </c>
      <c r="T50" s="102">
        <f t="shared" si="17"/>
        <v>75804.077001772632</v>
      </c>
      <c r="U50" s="102">
        <f t="shared" si="17"/>
        <v>79594.280851861258</v>
      </c>
      <c r="V50" s="102">
        <f t="shared" si="17"/>
        <v>83573.994894454314</v>
      </c>
      <c r="W50" s="102">
        <f t="shared" si="17"/>
        <v>87752.694639177033</v>
      </c>
    </row>
    <row r="51" spans="2:23">
      <c r="B51" s="228"/>
      <c r="C51" s="229" t="s">
        <v>60</v>
      </c>
      <c r="D51" s="227" t="s">
        <v>59</v>
      </c>
      <c r="E51" s="167">
        <v>0</v>
      </c>
      <c r="F51" s="183">
        <v>0</v>
      </c>
      <c r="G51" s="102">
        <f t="shared" si="12"/>
        <v>0</v>
      </c>
      <c r="H51" s="102">
        <f t="shared" si="17"/>
        <v>0</v>
      </c>
      <c r="I51" s="102">
        <f t="shared" si="17"/>
        <v>0</v>
      </c>
      <c r="J51" s="102">
        <f t="shared" si="17"/>
        <v>0</v>
      </c>
      <c r="K51" s="102">
        <f t="shared" si="17"/>
        <v>0</v>
      </c>
      <c r="L51" s="102">
        <f t="shared" si="17"/>
        <v>0</v>
      </c>
      <c r="M51" s="102">
        <f t="shared" si="17"/>
        <v>0</v>
      </c>
      <c r="N51" s="102">
        <f t="shared" si="17"/>
        <v>0</v>
      </c>
      <c r="O51" s="102">
        <f t="shared" si="17"/>
        <v>0</v>
      </c>
      <c r="P51" s="102">
        <f t="shared" si="17"/>
        <v>0</v>
      </c>
      <c r="Q51" s="102">
        <f t="shared" si="17"/>
        <v>0</v>
      </c>
      <c r="R51" s="102">
        <f t="shared" si="17"/>
        <v>0</v>
      </c>
      <c r="S51" s="102">
        <f t="shared" si="17"/>
        <v>0</v>
      </c>
      <c r="T51" s="102">
        <f t="shared" si="17"/>
        <v>0</v>
      </c>
      <c r="U51" s="102">
        <f t="shared" si="17"/>
        <v>0</v>
      </c>
      <c r="V51" s="102">
        <f t="shared" si="17"/>
        <v>0</v>
      </c>
      <c r="W51" s="102">
        <f t="shared" si="17"/>
        <v>0</v>
      </c>
    </row>
    <row r="52" spans="2:23">
      <c r="B52" s="228" t="s">
        <v>65</v>
      </c>
      <c r="C52" s="229" t="s">
        <v>103</v>
      </c>
      <c r="D52" s="227" t="s">
        <v>59</v>
      </c>
      <c r="E52" s="167">
        <v>0</v>
      </c>
      <c r="F52" s="183"/>
      <c r="G52" s="102">
        <f t="shared" si="12"/>
        <v>0</v>
      </c>
      <c r="H52" s="102">
        <f t="shared" si="17"/>
        <v>0</v>
      </c>
      <c r="I52" s="102">
        <f t="shared" si="17"/>
        <v>0</v>
      </c>
      <c r="J52" s="102">
        <f t="shared" si="17"/>
        <v>0</v>
      </c>
      <c r="K52" s="102">
        <f t="shared" si="17"/>
        <v>0</v>
      </c>
      <c r="L52" s="102">
        <f t="shared" si="17"/>
        <v>0</v>
      </c>
      <c r="M52" s="102">
        <f t="shared" si="17"/>
        <v>0</v>
      </c>
      <c r="N52" s="102">
        <f t="shared" si="17"/>
        <v>0</v>
      </c>
      <c r="O52" s="102">
        <f t="shared" si="17"/>
        <v>0</v>
      </c>
      <c r="P52" s="102">
        <f t="shared" si="17"/>
        <v>0</v>
      </c>
      <c r="Q52" s="102">
        <f t="shared" si="17"/>
        <v>0</v>
      </c>
      <c r="R52" s="102">
        <f t="shared" si="17"/>
        <v>0</v>
      </c>
      <c r="S52" s="102">
        <f t="shared" si="17"/>
        <v>0</v>
      </c>
      <c r="T52" s="102">
        <f t="shared" si="17"/>
        <v>0</v>
      </c>
      <c r="U52" s="102">
        <f t="shared" si="17"/>
        <v>0</v>
      </c>
      <c r="V52" s="102">
        <f t="shared" si="17"/>
        <v>0</v>
      </c>
      <c r="W52" s="102">
        <f t="shared" si="17"/>
        <v>0</v>
      </c>
    </row>
    <row r="53" spans="2:23">
      <c r="B53" s="228" t="s">
        <v>67</v>
      </c>
      <c r="C53" s="229" t="s">
        <v>104</v>
      </c>
      <c r="D53" s="227" t="s">
        <v>59</v>
      </c>
      <c r="E53" s="167">
        <v>0</v>
      </c>
      <c r="F53" s="215"/>
      <c r="G53" s="102">
        <f t="shared" si="12"/>
        <v>0</v>
      </c>
      <c r="H53" s="102">
        <f t="shared" si="17"/>
        <v>0</v>
      </c>
      <c r="I53" s="102">
        <f t="shared" si="17"/>
        <v>0</v>
      </c>
      <c r="J53" s="102">
        <f t="shared" si="17"/>
        <v>0</v>
      </c>
      <c r="K53" s="102">
        <f t="shared" si="17"/>
        <v>0</v>
      </c>
      <c r="L53" s="102">
        <f t="shared" si="17"/>
        <v>0</v>
      </c>
      <c r="M53" s="102">
        <f t="shared" si="17"/>
        <v>0</v>
      </c>
      <c r="N53" s="102">
        <f t="shared" si="17"/>
        <v>0</v>
      </c>
      <c r="O53" s="102">
        <f t="shared" si="17"/>
        <v>0</v>
      </c>
      <c r="P53" s="102">
        <f t="shared" si="17"/>
        <v>0</v>
      </c>
      <c r="Q53" s="102">
        <f t="shared" si="17"/>
        <v>0</v>
      </c>
      <c r="R53" s="102">
        <f t="shared" si="17"/>
        <v>0</v>
      </c>
      <c r="S53" s="102">
        <f t="shared" si="17"/>
        <v>0</v>
      </c>
      <c r="T53" s="102">
        <f t="shared" si="17"/>
        <v>0</v>
      </c>
      <c r="U53" s="102">
        <f t="shared" si="17"/>
        <v>0</v>
      </c>
      <c r="V53" s="102">
        <f t="shared" si="17"/>
        <v>0</v>
      </c>
      <c r="W53" s="102">
        <f t="shared" si="17"/>
        <v>0</v>
      </c>
    </row>
    <row r="54" spans="2:23">
      <c r="B54" s="228" t="s">
        <v>77</v>
      </c>
      <c r="C54" s="229" t="s">
        <v>105</v>
      </c>
      <c r="D54" s="227" t="s">
        <v>59</v>
      </c>
      <c r="E54" s="167">
        <v>0</v>
      </c>
      <c r="F54" s="215"/>
      <c r="G54" s="102">
        <f t="shared" si="12"/>
        <v>0</v>
      </c>
      <c r="H54" s="102">
        <f t="shared" si="17"/>
        <v>0</v>
      </c>
      <c r="I54" s="102">
        <f t="shared" si="17"/>
        <v>0</v>
      </c>
      <c r="J54" s="102">
        <f t="shared" si="17"/>
        <v>0</v>
      </c>
      <c r="K54" s="102">
        <f t="shared" si="17"/>
        <v>0</v>
      </c>
      <c r="L54" s="102">
        <f t="shared" si="17"/>
        <v>0</v>
      </c>
      <c r="M54" s="102">
        <f t="shared" si="17"/>
        <v>0</v>
      </c>
      <c r="N54" s="102">
        <f t="shared" si="17"/>
        <v>0</v>
      </c>
      <c r="O54" s="102">
        <f t="shared" si="17"/>
        <v>0</v>
      </c>
      <c r="P54" s="102">
        <f t="shared" si="17"/>
        <v>0</v>
      </c>
      <c r="Q54" s="102">
        <f t="shared" si="17"/>
        <v>0</v>
      </c>
      <c r="R54" s="102">
        <f t="shared" si="17"/>
        <v>0</v>
      </c>
      <c r="S54" s="102">
        <f t="shared" si="17"/>
        <v>0</v>
      </c>
      <c r="T54" s="102">
        <f t="shared" si="17"/>
        <v>0</v>
      </c>
      <c r="U54" s="102">
        <f t="shared" si="17"/>
        <v>0</v>
      </c>
      <c r="V54" s="102">
        <f t="shared" si="17"/>
        <v>0</v>
      </c>
      <c r="W54" s="102">
        <f t="shared" si="17"/>
        <v>0</v>
      </c>
    </row>
    <row r="55" spans="2:23">
      <c r="B55" s="225" t="s">
        <v>106</v>
      </c>
      <c r="C55" s="231" t="s">
        <v>107</v>
      </c>
      <c r="D55" s="227" t="s">
        <v>59</v>
      </c>
      <c r="E55" s="166">
        <f>SUM(E56:E60)</f>
        <v>26493.01</v>
      </c>
      <c r="F55" s="166">
        <f>SUM(F56:F60)</f>
        <v>6151.82</v>
      </c>
      <c r="G55" s="166">
        <f>SUM(G56:G60)</f>
        <v>6459.4110000000001</v>
      </c>
      <c r="H55" s="166">
        <f t="shared" ref="H55:W55" si="21">SUM(H56:H60)</f>
        <v>6782.3815500000001</v>
      </c>
      <c r="I55" s="166">
        <f t="shared" si="21"/>
        <v>7121.5006274999996</v>
      </c>
      <c r="J55" s="166">
        <f t="shared" si="21"/>
        <v>7477.5756588749991</v>
      </c>
      <c r="K55" s="166">
        <f t="shared" si="21"/>
        <v>7851.4544418187488</v>
      </c>
      <c r="L55" s="166">
        <f t="shared" si="21"/>
        <v>8244.0271639096864</v>
      </c>
      <c r="M55" s="166">
        <f t="shared" si="21"/>
        <v>8656.2285221051716</v>
      </c>
      <c r="N55" s="166">
        <f t="shared" si="21"/>
        <v>9089.0399482104294</v>
      </c>
      <c r="O55" s="166">
        <f t="shared" si="21"/>
        <v>9543.49194562095</v>
      </c>
      <c r="P55" s="166">
        <f t="shared" si="21"/>
        <v>10020.666542901998</v>
      </c>
      <c r="Q55" s="166">
        <f t="shared" si="21"/>
        <v>10521.699870047098</v>
      </c>
      <c r="R55" s="166">
        <f t="shared" si="21"/>
        <v>11047.784863549452</v>
      </c>
      <c r="S55" s="166">
        <f t="shared" si="21"/>
        <v>11600.174106726925</v>
      </c>
      <c r="T55" s="166">
        <f t="shared" si="21"/>
        <v>12180.182812063271</v>
      </c>
      <c r="U55" s="166">
        <f t="shared" si="21"/>
        <v>12789.191952666435</v>
      </c>
      <c r="V55" s="166">
        <f t="shared" si="21"/>
        <v>13428.651550299757</v>
      </c>
      <c r="W55" s="166">
        <f t="shared" si="21"/>
        <v>14100.084127814745</v>
      </c>
    </row>
    <row r="56" spans="2:23">
      <c r="B56" s="228" t="s">
        <v>61</v>
      </c>
      <c r="C56" s="229" t="s">
        <v>102</v>
      </c>
      <c r="D56" s="227" t="s">
        <v>59</v>
      </c>
      <c r="E56" s="167">
        <v>26493.01</v>
      </c>
      <c r="F56" s="215">
        <v>6151.82</v>
      </c>
      <c r="G56" s="102">
        <f t="shared" si="12"/>
        <v>6459.4110000000001</v>
      </c>
      <c r="H56" s="102">
        <f t="shared" ref="H56:W67" si="22">G56+G56*0.05</f>
        <v>6782.3815500000001</v>
      </c>
      <c r="I56" s="102">
        <f t="shared" si="22"/>
        <v>7121.5006274999996</v>
      </c>
      <c r="J56" s="102">
        <f t="shared" si="22"/>
        <v>7477.5756588749991</v>
      </c>
      <c r="K56" s="102">
        <f t="shared" si="22"/>
        <v>7851.4544418187488</v>
      </c>
      <c r="L56" s="102">
        <f t="shared" si="22"/>
        <v>8244.0271639096864</v>
      </c>
      <c r="M56" s="102">
        <f t="shared" si="22"/>
        <v>8656.2285221051716</v>
      </c>
      <c r="N56" s="102">
        <f t="shared" si="22"/>
        <v>9089.0399482104294</v>
      </c>
      <c r="O56" s="102">
        <f t="shared" si="22"/>
        <v>9543.49194562095</v>
      </c>
      <c r="P56" s="102">
        <f t="shared" si="22"/>
        <v>10020.666542901998</v>
      </c>
      <c r="Q56" s="102">
        <f t="shared" si="22"/>
        <v>10521.699870047098</v>
      </c>
      <c r="R56" s="102">
        <f t="shared" si="22"/>
        <v>11047.784863549452</v>
      </c>
      <c r="S56" s="102">
        <f t="shared" si="22"/>
        <v>11600.174106726925</v>
      </c>
      <c r="T56" s="102">
        <f t="shared" si="22"/>
        <v>12180.182812063271</v>
      </c>
      <c r="U56" s="102">
        <f t="shared" si="22"/>
        <v>12789.191952666435</v>
      </c>
      <c r="V56" s="102">
        <f t="shared" si="22"/>
        <v>13428.651550299757</v>
      </c>
      <c r="W56" s="102">
        <f t="shared" si="22"/>
        <v>14100.084127814745</v>
      </c>
    </row>
    <row r="57" spans="2:23">
      <c r="B57" s="228"/>
      <c r="C57" s="229" t="s">
        <v>108</v>
      </c>
      <c r="D57" s="227" t="s">
        <v>59</v>
      </c>
      <c r="E57" s="167">
        <v>0</v>
      </c>
      <c r="F57" s="215">
        <v>0</v>
      </c>
      <c r="G57" s="102">
        <f t="shared" si="12"/>
        <v>0</v>
      </c>
      <c r="H57" s="102">
        <f t="shared" si="22"/>
        <v>0</v>
      </c>
      <c r="I57" s="102">
        <f t="shared" si="22"/>
        <v>0</v>
      </c>
      <c r="J57" s="102">
        <f t="shared" si="22"/>
        <v>0</v>
      </c>
      <c r="K57" s="102">
        <f t="shared" si="22"/>
        <v>0</v>
      </c>
      <c r="L57" s="102">
        <f t="shared" si="22"/>
        <v>0</v>
      </c>
      <c r="M57" s="102">
        <f t="shared" si="22"/>
        <v>0</v>
      </c>
      <c r="N57" s="102">
        <f t="shared" si="22"/>
        <v>0</v>
      </c>
      <c r="O57" s="102">
        <f t="shared" si="22"/>
        <v>0</v>
      </c>
      <c r="P57" s="102">
        <f t="shared" si="22"/>
        <v>0</v>
      </c>
      <c r="Q57" s="102">
        <f t="shared" si="22"/>
        <v>0</v>
      </c>
      <c r="R57" s="102">
        <f t="shared" si="22"/>
        <v>0</v>
      </c>
      <c r="S57" s="102">
        <f t="shared" si="22"/>
        <v>0</v>
      </c>
      <c r="T57" s="102">
        <f t="shared" si="22"/>
        <v>0</v>
      </c>
      <c r="U57" s="102">
        <f t="shared" si="22"/>
        <v>0</v>
      </c>
      <c r="V57" s="102">
        <f t="shared" si="22"/>
        <v>0</v>
      </c>
      <c r="W57" s="102">
        <f t="shared" si="22"/>
        <v>0</v>
      </c>
    </row>
    <row r="58" spans="2:23">
      <c r="B58" s="228" t="s">
        <v>63</v>
      </c>
      <c r="C58" s="229" t="s">
        <v>109</v>
      </c>
      <c r="D58" s="227" t="s">
        <v>59</v>
      </c>
      <c r="E58" s="167">
        <v>0</v>
      </c>
      <c r="F58" s="215">
        <v>0</v>
      </c>
      <c r="G58" s="102">
        <f t="shared" si="12"/>
        <v>0</v>
      </c>
      <c r="H58" s="102">
        <f t="shared" si="22"/>
        <v>0</v>
      </c>
      <c r="I58" s="102">
        <f t="shared" si="22"/>
        <v>0</v>
      </c>
      <c r="J58" s="102">
        <f t="shared" si="22"/>
        <v>0</v>
      </c>
      <c r="K58" s="102">
        <f t="shared" si="22"/>
        <v>0</v>
      </c>
      <c r="L58" s="102">
        <f t="shared" si="22"/>
        <v>0</v>
      </c>
      <c r="M58" s="102">
        <f t="shared" si="22"/>
        <v>0</v>
      </c>
      <c r="N58" s="102">
        <f t="shared" si="22"/>
        <v>0</v>
      </c>
      <c r="O58" s="102">
        <f t="shared" si="22"/>
        <v>0</v>
      </c>
      <c r="P58" s="102">
        <f t="shared" si="22"/>
        <v>0</v>
      </c>
      <c r="Q58" s="102">
        <f t="shared" si="22"/>
        <v>0</v>
      </c>
      <c r="R58" s="102">
        <f t="shared" si="22"/>
        <v>0</v>
      </c>
      <c r="S58" s="102">
        <f t="shared" si="22"/>
        <v>0</v>
      </c>
      <c r="T58" s="102">
        <f t="shared" si="22"/>
        <v>0</v>
      </c>
      <c r="U58" s="102">
        <f t="shared" si="22"/>
        <v>0</v>
      </c>
      <c r="V58" s="102">
        <f t="shared" si="22"/>
        <v>0</v>
      </c>
      <c r="W58" s="102">
        <f t="shared" si="22"/>
        <v>0</v>
      </c>
    </row>
    <row r="59" spans="2:23">
      <c r="B59" s="228" t="s">
        <v>65</v>
      </c>
      <c r="C59" s="229" t="s">
        <v>104</v>
      </c>
      <c r="D59" s="227" t="s">
        <v>59</v>
      </c>
      <c r="E59" s="167">
        <v>0</v>
      </c>
      <c r="F59" s="215">
        <v>0</v>
      </c>
      <c r="G59" s="102">
        <f t="shared" si="12"/>
        <v>0</v>
      </c>
      <c r="H59" s="102">
        <f t="shared" si="22"/>
        <v>0</v>
      </c>
      <c r="I59" s="102">
        <f t="shared" si="22"/>
        <v>0</v>
      </c>
      <c r="J59" s="102">
        <f t="shared" si="22"/>
        <v>0</v>
      </c>
      <c r="K59" s="102">
        <f t="shared" si="22"/>
        <v>0</v>
      </c>
      <c r="L59" s="102">
        <f t="shared" si="22"/>
        <v>0</v>
      </c>
      <c r="M59" s="102">
        <f t="shared" si="22"/>
        <v>0</v>
      </c>
      <c r="N59" s="102">
        <f t="shared" si="22"/>
        <v>0</v>
      </c>
      <c r="O59" s="102">
        <f t="shared" si="22"/>
        <v>0</v>
      </c>
      <c r="P59" s="102">
        <f t="shared" si="22"/>
        <v>0</v>
      </c>
      <c r="Q59" s="102">
        <f t="shared" si="22"/>
        <v>0</v>
      </c>
      <c r="R59" s="102">
        <f t="shared" si="22"/>
        <v>0</v>
      </c>
      <c r="S59" s="102">
        <f t="shared" si="22"/>
        <v>0</v>
      </c>
      <c r="T59" s="102">
        <f t="shared" si="22"/>
        <v>0</v>
      </c>
      <c r="U59" s="102">
        <f t="shared" si="22"/>
        <v>0</v>
      </c>
      <c r="V59" s="102">
        <f t="shared" si="22"/>
        <v>0</v>
      </c>
      <c r="W59" s="102">
        <f t="shared" si="22"/>
        <v>0</v>
      </c>
    </row>
    <row r="60" spans="2:23">
      <c r="B60" s="228" t="s">
        <v>67</v>
      </c>
      <c r="C60" s="229" t="s">
        <v>105</v>
      </c>
      <c r="D60" s="227" t="s">
        <v>59</v>
      </c>
      <c r="E60" s="167">
        <v>0</v>
      </c>
      <c r="F60" s="183">
        <v>0</v>
      </c>
      <c r="G60" s="102">
        <f t="shared" si="12"/>
        <v>0</v>
      </c>
      <c r="H60" s="102">
        <f t="shared" si="22"/>
        <v>0</v>
      </c>
      <c r="I60" s="102">
        <f t="shared" si="22"/>
        <v>0</v>
      </c>
      <c r="J60" s="102">
        <f t="shared" si="22"/>
        <v>0</v>
      </c>
      <c r="K60" s="102">
        <f t="shared" si="22"/>
        <v>0</v>
      </c>
      <c r="L60" s="102">
        <f t="shared" si="22"/>
        <v>0</v>
      </c>
      <c r="M60" s="102">
        <f t="shared" si="22"/>
        <v>0</v>
      </c>
      <c r="N60" s="102">
        <f t="shared" si="22"/>
        <v>0</v>
      </c>
      <c r="O60" s="102">
        <f t="shared" si="22"/>
        <v>0</v>
      </c>
      <c r="P60" s="102">
        <f t="shared" si="22"/>
        <v>0</v>
      </c>
      <c r="Q60" s="102">
        <f t="shared" si="22"/>
        <v>0</v>
      </c>
      <c r="R60" s="102">
        <f t="shared" si="22"/>
        <v>0</v>
      </c>
      <c r="S60" s="102">
        <f t="shared" si="22"/>
        <v>0</v>
      </c>
      <c r="T60" s="102">
        <f t="shared" si="22"/>
        <v>0</v>
      </c>
      <c r="U60" s="102">
        <f t="shared" si="22"/>
        <v>0</v>
      </c>
      <c r="V60" s="102">
        <f t="shared" si="22"/>
        <v>0</v>
      </c>
      <c r="W60" s="102">
        <f t="shared" si="22"/>
        <v>0</v>
      </c>
    </row>
    <row r="61" spans="2:23">
      <c r="B61" s="225" t="s">
        <v>61</v>
      </c>
      <c r="C61" s="226" t="s">
        <v>110</v>
      </c>
      <c r="D61" s="227" t="s">
        <v>59</v>
      </c>
      <c r="E61" s="166">
        <f>E46+E47-E55</f>
        <v>87850.410000000309</v>
      </c>
      <c r="F61" s="166">
        <f>F46+F47-F55</f>
        <v>662045.26999999862</v>
      </c>
      <c r="G61" s="166">
        <f>G46+G47-G55</f>
        <v>817771.92049999884</v>
      </c>
      <c r="H61" s="166">
        <f t="shared" ref="H61:W61" si="23">H46+H47-H55</f>
        <v>832113.47287729953</v>
      </c>
      <c r="I61" s="166">
        <f t="shared" si="23"/>
        <v>1084231.7572186843</v>
      </c>
      <c r="J61" s="166">
        <f t="shared" si="23"/>
        <v>1243578.4288837423</v>
      </c>
      <c r="K61" s="166">
        <f t="shared" si="23"/>
        <v>1405635.6799418493</v>
      </c>
      <c r="L61" s="166">
        <f t="shared" si="23"/>
        <v>1570801.8770721692</v>
      </c>
      <c r="M61" s="166">
        <f t="shared" si="23"/>
        <v>1739482.1634023366</v>
      </c>
      <c r="N61" s="166">
        <f t="shared" si="23"/>
        <v>1912089.4544251866</v>
      </c>
      <c r="O61" s="166">
        <f t="shared" si="23"/>
        <v>2089045.4508565415</v>
      </c>
      <c r="P61" s="166">
        <f t="shared" si="23"/>
        <v>2270781.6709239604</v>
      </c>
      <c r="Q61" s="166">
        <f t="shared" si="23"/>
        <v>2457740.5046185162</v>
      </c>
      <c r="R61" s="166">
        <f t="shared" si="23"/>
        <v>2650376.2924903887</v>
      </c>
      <c r="S61" s="166">
        <f t="shared" si="23"/>
        <v>2849156.4316238114</v>
      </c>
      <c r="T61" s="166">
        <f t="shared" si="23"/>
        <v>3054562.511488454</v>
      </c>
      <c r="U61" s="166">
        <f t="shared" si="23"/>
        <v>3267091.4824321545</v>
      </c>
      <c r="V61" s="166">
        <f t="shared" si="23"/>
        <v>3487256.8596545733</v>
      </c>
      <c r="W61" s="166">
        <f t="shared" si="23"/>
        <v>3715589.9655830809</v>
      </c>
    </row>
    <row r="62" spans="2:23">
      <c r="B62" s="225" t="s">
        <v>111</v>
      </c>
      <c r="C62" s="226" t="s">
        <v>112</v>
      </c>
      <c r="D62" s="227" t="s">
        <v>59</v>
      </c>
      <c r="E62" s="166">
        <f>SUM(E63:E64)</f>
        <v>0</v>
      </c>
      <c r="F62" s="166">
        <f>SUM(F63:F64)</f>
        <v>0</v>
      </c>
      <c r="G62" s="166">
        <f>SUM(G63:G64)</f>
        <v>0</v>
      </c>
      <c r="H62" s="166">
        <f t="shared" ref="H62:W62" si="24">SUM(H63:H64)</f>
        <v>0</v>
      </c>
      <c r="I62" s="166">
        <f t="shared" si="24"/>
        <v>0</v>
      </c>
      <c r="J62" s="166">
        <f t="shared" si="24"/>
        <v>0</v>
      </c>
      <c r="K62" s="166">
        <f t="shared" si="24"/>
        <v>0</v>
      </c>
      <c r="L62" s="166">
        <f t="shared" si="24"/>
        <v>0</v>
      </c>
      <c r="M62" s="166">
        <f t="shared" si="24"/>
        <v>0</v>
      </c>
      <c r="N62" s="166">
        <f t="shared" si="24"/>
        <v>0</v>
      </c>
      <c r="O62" s="166">
        <f t="shared" si="24"/>
        <v>0</v>
      </c>
      <c r="P62" s="166">
        <f t="shared" si="24"/>
        <v>0</v>
      </c>
      <c r="Q62" s="166">
        <f t="shared" si="24"/>
        <v>0</v>
      </c>
      <c r="R62" s="166">
        <f t="shared" si="24"/>
        <v>0</v>
      </c>
      <c r="S62" s="166">
        <f t="shared" si="24"/>
        <v>0</v>
      </c>
      <c r="T62" s="166">
        <f t="shared" si="24"/>
        <v>0</v>
      </c>
      <c r="U62" s="166">
        <f t="shared" si="24"/>
        <v>0</v>
      </c>
      <c r="V62" s="166">
        <f t="shared" si="24"/>
        <v>0</v>
      </c>
      <c r="W62" s="166">
        <f t="shared" si="24"/>
        <v>0</v>
      </c>
    </row>
    <row r="63" spans="2:23">
      <c r="B63" s="228" t="s">
        <v>61</v>
      </c>
      <c r="C63" s="229" t="s">
        <v>113</v>
      </c>
      <c r="D63" s="227" t="s">
        <v>59</v>
      </c>
      <c r="E63" s="167">
        <v>0</v>
      </c>
      <c r="F63" s="167">
        <v>0</v>
      </c>
      <c r="G63" s="102">
        <f t="shared" si="12"/>
        <v>0</v>
      </c>
      <c r="H63" s="102">
        <f t="shared" si="22"/>
        <v>0</v>
      </c>
      <c r="I63" s="102">
        <f t="shared" si="22"/>
        <v>0</v>
      </c>
      <c r="J63" s="102">
        <f t="shared" si="22"/>
        <v>0</v>
      </c>
      <c r="K63" s="102">
        <f t="shared" si="22"/>
        <v>0</v>
      </c>
      <c r="L63" s="102">
        <f t="shared" si="22"/>
        <v>0</v>
      </c>
      <c r="M63" s="102">
        <f t="shared" si="22"/>
        <v>0</v>
      </c>
      <c r="N63" s="102">
        <f t="shared" si="22"/>
        <v>0</v>
      </c>
      <c r="O63" s="102">
        <f t="shared" si="22"/>
        <v>0</v>
      </c>
      <c r="P63" s="102">
        <f t="shared" si="22"/>
        <v>0</v>
      </c>
      <c r="Q63" s="102">
        <f t="shared" si="22"/>
        <v>0</v>
      </c>
      <c r="R63" s="102">
        <f t="shared" si="22"/>
        <v>0</v>
      </c>
      <c r="S63" s="102">
        <f t="shared" si="22"/>
        <v>0</v>
      </c>
      <c r="T63" s="102">
        <f t="shared" si="22"/>
        <v>0</v>
      </c>
      <c r="U63" s="102">
        <f t="shared" si="22"/>
        <v>0</v>
      </c>
      <c r="V63" s="102">
        <f t="shared" si="22"/>
        <v>0</v>
      </c>
      <c r="W63" s="102">
        <f t="shared" si="22"/>
        <v>0</v>
      </c>
    </row>
    <row r="64" spans="2:23">
      <c r="B64" s="228" t="s">
        <v>63</v>
      </c>
      <c r="C64" s="229" t="s">
        <v>114</v>
      </c>
      <c r="D64" s="227" t="s">
        <v>59</v>
      </c>
      <c r="E64" s="167">
        <v>0</v>
      </c>
      <c r="F64" s="167">
        <v>0</v>
      </c>
      <c r="G64" s="102">
        <f t="shared" si="12"/>
        <v>0</v>
      </c>
      <c r="H64" s="102">
        <f t="shared" si="22"/>
        <v>0</v>
      </c>
      <c r="I64" s="102">
        <f t="shared" si="22"/>
        <v>0</v>
      </c>
      <c r="J64" s="102">
        <f t="shared" si="22"/>
        <v>0</v>
      </c>
      <c r="K64" s="102">
        <f t="shared" si="22"/>
        <v>0</v>
      </c>
      <c r="L64" s="102">
        <f t="shared" si="22"/>
        <v>0</v>
      </c>
      <c r="M64" s="102">
        <f t="shared" si="22"/>
        <v>0</v>
      </c>
      <c r="N64" s="102">
        <f t="shared" si="22"/>
        <v>0</v>
      </c>
      <c r="O64" s="102">
        <f t="shared" si="22"/>
        <v>0</v>
      </c>
      <c r="P64" s="102">
        <f t="shared" si="22"/>
        <v>0</v>
      </c>
      <c r="Q64" s="102">
        <f t="shared" si="22"/>
        <v>0</v>
      </c>
      <c r="R64" s="102">
        <f t="shared" si="22"/>
        <v>0</v>
      </c>
      <c r="S64" s="102">
        <f t="shared" si="22"/>
        <v>0</v>
      </c>
      <c r="T64" s="102">
        <f t="shared" si="22"/>
        <v>0</v>
      </c>
      <c r="U64" s="102">
        <f t="shared" si="22"/>
        <v>0</v>
      </c>
      <c r="V64" s="102">
        <f t="shared" si="22"/>
        <v>0</v>
      </c>
      <c r="W64" s="102">
        <f t="shared" si="22"/>
        <v>0</v>
      </c>
    </row>
    <row r="65" spans="2:23">
      <c r="B65" s="225" t="s">
        <v>115</v>
      </c>
      <c r="C65" s="231" t="s">
        <v>116</v>
      </c>
      <c r="D65" s="227" t="s">
        <v>59</v>
      </c>
      <c r="E65" s="166">
        <f>E61+E62</f>
        <v>87850.410000000309</v>
      </c>
      <c r="F65" s="166">
        <f>F61+F62</f>
        <v>662045.26999999862</v>
      </c>
      <c r="G65" s="166">
        <f>G61+G62</f>
        <v>817771.92049999884</v>
      </c>
      <c r="H65" s="166">
        <f t="shared" ref="H65:W65" si="25">H61+H62</f>
        <v>832113.47287729953</v>
      </c>
      <c r="I65" s="166">
        <f t="shared" si="25"/>
        <v>1084231.7572186843</v>
      </c>
      <c r="J65" s="166">
        <f t="shared" si="25"/>
        <v>1243578.4288837423</v>
      </c>
      <c r="K65" s="166">
        <f t="shared" si="25"/>
        <v>1405635.6799418493</v>
      </c>
      <c r="L65" s="166">
        <f t="shared" si="25"/>
        <v>1570801.8770721692</v>
      </c>
      <c r="M65" s="166">
        <f t="shared" si="25"/>
        <v>1739482.1634023366</v>
      </c>
      <c r="N65" s="166">
        <f t="shared" si="25"/>
        <v>1912089.4544251866</v>
      </c>
      <c r="O65" s="166">
        <f t="shared" si="25"/>
        <v>2089045.4508565415</v>
      </c>
      <c r="P65" s="166">
        <f t="shared" si="25"/>
        <v>2270781.6709239604</v>
      </c>
      <c r="Q65" s="166">
        <f t="shared" si="25"/>
        <v>2457740.5046185162</v>
      </c>
      <c r="R65" s="166">
        <f t="shared" si="25"/>
        <v>2650376.2924903887</v>
      </c>
      <c r="S65" s="166">
        <f t="shared" si="25"/>
        <v>2849156.4316238114</v>
      </c>
      <c r="T65" s="166">
        <f t="shared" si="25"/>
        <v>3054562.511488454</v>
      </c>
      <c r="U65" s="166">
        <f t="shared" si="25"/>
        <v>3267091.4824321545</v>
      </c>
      <c r="V65" s="166">
        <f t="shared" si="25"/>
        <v>3487256.8596545733</v>
      </c>
      <c r="W65" s="166">
        <f t="shared" si="25"/>
        <v>3715589.9655830809</v>
      </c>
    </row>
    <row r="66" spans="2:23">
      <c r="B66" s="225" t="s">
        <v>117</v>
      </c>
      <c r="C66" s="231" t="s">
        <v>118</v>
      </c>
      <c r="D66" s="227" t="s">
        <v>59</v>
      </c>
      <c r="E66" s="166">
        <v>49755</v>
      </c>
      <c r="F66" s="183">
        <v>20018</v>
      </c>
      <c r="G66" s="102">
        <f t="shared" si="12"/>
        <v>21018.9</v>
      </c>
      <c r="H66" s="102">
        <f t="shared" si="22"/>
        <v>22069.845000000001</v>
      </c>
      <c r="I66" s="102">
        <f t="shared" si="22"/>
        <v>23173.33725</v>
      </c>
      <c r="J66" s="102">
        <f t="shared" si="22"/>
        <v>24332.004112499999</v>
      </c>
      <c r="K66" s="102">
        <f t="shared" si="22"/>
        <v>25548.604318124999</v>
      </c>
      <c r="L66" s="102">
        <f t="shared" si="22"/>
        <v>26826.034534031249</v>
      </c>
      <c r="M66" s="102">
        <f t="shared" si="22"/>
        <v>28167.336260732813</v>
      </c>
      <c r="N66" s="102">
        <f t="shared" si="22"/>
        <v>29575.703073769455</v>
      </c>
      <c r="O66" s="102">
        <f t="shared" si="22"/>
        <v>31054.488227457929</v>
      </c>
      <c r="P66" s="102">
        <f t="shared" si="22"/>
        <v>32607.212638830824</v>
      </c>
      <c r="Q66" s="102">
        <f t="shared" si="22"/>
        <v>34237.573270772366</v>
      </c>
      <c r="R66" s="102">
        <f t="shared" si="22"/>
        <v>35949.451934310986</v>
      </c>
      <c r="S66" s="102">
        <f t="shared" si="22"/>
        <v>37746.924531026532</v>
      </c>
      <c r="T66" s="102">
        <f t="shared" si="22"/>
        <v>39634.270757577862</v>
      </c>
      <c r="U66" s="102">
        <f t="shared" si="22"/>
        <v>41615.984295456758</v>
      </c>
      <c r="V66" s="102">
        <f t="shared" si="22"/>
        <v>43696.783510229594</v>
      </c>
      <c r="W66" s="102">
        <f t="shared" si="22"/>
        <v>45881.622685741073</v>
      </c>
    </row>
    <row r="67" spans="2:23">
      <c r="B67" s="225" t="s">
        <v>119</v>
      </c>
      <c r="C67" s="226" t="s">
        <v>120</v>
      </c>
      <c r="D67" s="227" t="s">
        <v>59</v>
      </c>
      <c r="E67" s="166">
        <v>7756</v>
      </c>
      <c r="F67" s="166">
        <v>18180</v>
      </c>
      <c r="G67" s="102">
        <f t="shared" si="12"/>
        <v>19089</v>
      </c>
      <c r="H67" s="102">
        <f t="shared" si="22"/>
        <v>20043.45</v>
      </c>
      <c r="I67" s="102">
        <f t="shared" si="22"/>
        <v>21045.622500000001</v>
      </c>
      <c r="J67" s="102">
        <f t="shared" si="22"/>
        <v>22097.903625000003</v>
      </c>
      <c r="K67" s="102">
        <f t="shared" si="22"/>
        <v>23202.798806250004</v>
      </c>
      <c r="L67" s="102">
        <f t="shared" si="22"/>
        <v>24362.938746562504</v>
      </c>
      <c r="M67" s="102">
        <f t="shared" si="22"/>
        <v>25581.085683890629</v>
      </c>
      <c r="N67" s="102">
        <f t="shared" si="22"/>
        <v>26860.139968085161</v>
      </c>
      <c r="O67" s="102">
        <f t="shared" si="22"/>
        <v>28203.146966489418</v>
      </c>
      <c r="P67" s="102">
        <f t="shared" si="22"/>
        <v>29613.30431481389</v>
      </c>
      <c r="Q67" s="102">
        <f t="shared" si="22"/>
        <v>31093.969530554583</v>
      </c>
      <c r="R67" s="102">
        <f t="shared" si="22"/>
        <v>32648.668007082313</v>
      </c>
      <c r="S67" s="102">
        <f t="shared" si="22"/>
        <v>34281.101407436428</v>
      </c>
      <c r="T67" s="102">
        <f t="shared" si="22"/>
        <v>35995.156477808247</v>
      </c>
      <c r="U67" s="102">
        <f t="shared" si="22"/>
        <v>37794.914301698656</v>
      </c>
      <c r="V67" s="102">
        <f t="shared" si="22"/>
        <v>39684.660016783586</v>
      </c>
      <c r="W67" s="102">
        <f t="shared" si="22"/>
        <v>41668.893017622766</v>
      </c>
    </row>
    <row r="68" spans="2:23">
      <c r="B68" s="225" t="s">
        <v>121</v>
      </c>
      <c r="C68" s="231" t="s">
        <v>122</v>
      </c>
      <c r="D68" s="227" t="s">
        <v>59</v>
      </c>
      <c r="E68" s="166">
        <f>E65-E66-E67</f>
        <v>30339.410000000309</v>
      </c>
      <c r="F68" s="166">
        <f>F65-F66-F67</f>
        <v>623847.26999999862</v>
      </c>
      <c r="G68" s="166">
        <f>G65-G66-G67</f>
        <v>777664.02049999882</v>
      </c>
      <c r="H68" s="166">
        <f t="shared" ref="H68:W68" si="26">H65-H66-H67</f>
        <v>790000.1778772996</v>
      </c>
      <c r="I68" s="166">
        <f t="shared" si="26"/>
        <v>1040012.7974686841</v>
      </c>
      <c r="J68" s="166">
        <f t="shared" si="26"/>
        <v>1197148.5211462423</v>
      </c>
      <c r="K68" s="166">
        <f t="shared" si="26"/>
        <v>1356884.2768174743</v>
      </c>
      <c r="L68" s="166">
        <f t="shared" si="26"/>
        <v>1519612.9037915755</v>
      </c>
      <c r="M68" s="166">
        <f t="shared" si="26"/>
        <v>1685733.7414577133</v>
      </c>
      <c r="N68" s="166">
        <f t="shared" si="26"/>
        <v>1855653.6113833322</v>
      </c>
      <c r="O68" s="166">
        <f t="shared" si="26"/>
        <v>2029787.815662594</v>
      </c>
      <c r="P68" s="166">
        <f t="shared" si="26"/>
        <v>2208561.1539703156</v>
      </c>
      <c r="Q68" s="166">
        <f t="shared" si="26"/>
        <v>2392408.9618171891</v>
      </c>
      <c r="R68" s="166">
        <f t="shared" si="26"/>
        <v>2581778.1725489954</v>
      </c>
      <c r="S68" s="166">
        <f t="shared" si="26"/>
        <v>2777128.405685348</v>
      </c>
      <c r="T68" s="166">
        <f t="shared" si="26"/>
        <v>2978933.0842530681</v>
      </c>
      <c r="U68" s="166">
        <f t="shared" si="26"/>
        <v>3187680.5838349992</v>
      </c>
      <c r="V68" s="166">
        <f t="shared" si="26"/>
        <v>3403875.4161275602</v>
      </c>
      <c r="W68" s="166">
        <f t="shared" si="26"/>
        <v>3628039.4498797171</v>
      </c>
    </row>
    <row r="70" spans="2:23">
      <c r="C70" s="234" t="s">
        <v>246</v>
      </c>
    </row>
    <row r="72" spans="2:23">
      <c r="B72" s="128" t="s">
        <v>54</v>
      </c>
      <c r="C72" s="128" t="s">
        <v>55</v>
      </c>
      <c r="D72" s="129" t="s">
        <v>56</v>
      </c>
      <c r="E72" s="113">
        <v>2012</v>
      </c>
      <c r="F72" s="113">
        <v>2013</v>
      </c>
    </row>
    <row r="73" spans="2:23">
      <c r="B73" s="129" t="s">
        <v>57</v>
      </c>
      <c r="C73" s="130" t="s">
        <v>127</v>
      </c>
      <c r="D73" s="131" t="s">
        <v>59</v>
      </c>
      <c r="E73" s="132">
        <f>E74+E75+E84+E85+E86</f>
        <v>16472666.09</v>
      </c>
      <c r="F73" s="132">
        <f>F74+F75+F84+F85+F86</f>
        <v>15949969.429999998</v>
      </c>
    </row>
    <row r="74" spans="2:23">
      <c r="B74" s="133" t="s">
        <v>61</v>
      </c>
      <c r="C74" s="134" t="s">
        <v>128</v>
      </c>
      <c r="D74" s="131" t="s">
        <v>59</v>
      </c>
      <c r="E74" s="135">
        <v>67342.880000000005</v>
      </c>
      <c r="F74" s="135">
        <v>40232.36</v>
      </c>
    </row>
    <row r="75" spans="2:23">
      <c r="B75" s="133" t="s">
        <v>63</v>
      </c>
      <c r="C75" s="134" t="s">
        <v>129</v>
      </c>
      <c r="D75" s="131" t="s">
        <v>59</v>
      </c>
      <c r="E75" s="135">
        <f>E76+E82+E83</f>
        <v>16367075.209999999</v>
      </c>
      <c r="F75" s="135">
        <f>F76+F82+F83</f>
        <v>15884730.069999998</v>
      </c>
    </row>
    <row r="76" spans="2:23">
      <c r="B76" s="133" t="s">
        <v>130</v>
      </c>
      <c r="C76" s="134" t="s">
        <v>131</v>
      </c>
      <c r="D76" s="131" t="s">
        <v>59</v>
      </c>
      <c r="E76" s="135">
        <f>SUM(E77:E81)</f>
        <v>16334734.199999999</v>
      </c>
      <c r="F76" s="135">
        <f>SUM(F77:F81)</f>
        <v>15816202.759999998</v>
      </c>
    </row>
    <row r="77" spans="2:23">
      <c r="B77" s="133"/>
      <c r="C77" s="134" t="s">
        <v>132</v>
      </c>
      <c r="D77" s="131" t="s">
        <v>59</v>
      </c>
      <c r="E77" s="135">
        <v>418489.63</v>
      </c>
      <c r="F77" s="135">
        <v>408541.79</v>
      </c>
    </row>
    <row r="78" spans="2:23">
      <c r="B78" s="133"/>
      <c r="C78" s="134" t="s">
        <v>133</v>
      </c>
      <c r="D78" s="131" t="s">
        <v>59</v>
      </c>
      <c r="E78" s="135">
        <v>13214949.82</v>
      </c>
      <c r="F78" s="136">
        <v>12644037.75</v>
      </c>
    </row>
    <row r="79" spans="2:23">
      <c r="B79" s="133"/>
      <c r="C79" s="134" t="s">
        <v>134</v>
      </c>
      <c r="D79" s="131" t="s">
        <v>59</v>
      </c>
      <c r="E79" s="135">
        <v>2178729.2599999998</v>
      </c>
      <c r="F79" s="136">
        <v>2015015.74</v>
      </c>
    </row>
    <row r="80" spans="2:23">
      <c r="B80" s="133"/>
      <c r="C80" s="134" t="s">
        <v>135</v>
      </c>
      <c r="D80" s="131" t="s">
        <v>59</v>
      </c>
      <c r="E80" s="135">
        <v>518795.37</v>
      </c>
      <c r="F80" s="136">
        <v>740299.69</v>
      </c>
    </row>
    <row r="81" spans="2:6">
      <c r="B81" s="133"/>
      <c r="C81" s="134" t="s">
        <v>136</v>
      </c>
      <c r="D81" s="131" t="s">
        <v>59</v>
      </c>
      <c r="E81" s="135">
        <v>3770.12</v>
      </c>
      <c r="F81" s="136">
        <v>8307.7900000000009</v>
      </c>
    </row>
    <row r="82" spans="2:6">
      <c r="B82" s="133" t="s">
        <v>137</v>
      </c>
      <c r="C82" s="134" t="s">
        <v>138</v>
      </c>
      <c r="D82" s="131" t="s">
        <v>59</v>
      </c>
      <c r="E82" s="135">
        <v>32341.01</v>
      </c>
      <c r="F82" s="136">
        <v>68527.31</v>
      </c>
    </row>
    <row r="83" spans="2:6">
      <c r="B83" s="133" t="s">
        <v>139</v>
      </c>
      <c r="C83" s="134" t="s">
        <v>140</v>
      </c>
      <c r="D83" s="131" t="s">
        <v>59</v>
      </c>
      <c r="E83" s="135">
        <v>0</v>
      </c>
      <c r="F83" s="136">
        <v>0</v>
      </c>
    </row>
    <row r="84" spans="2:6">
      <c r="B84" s="133" t="s">
        <v>65</v>
      </c>
      <c r="C84" s="134" t="s">
        <v>141</v>
      </c>
      <c r="D84" s="131" t="s">
        <v>59</v>
      </c>
      <c r="E84" s="135">
        <v>0</v>
      </c>
      <c r="F84" s="135">
        <v>0</v>
      </c>
    </row>
    <row r="85" spans="2:6">
      <c r="B85" s="133" t="s">
        <v>67</v>
      </c>
      <c r="C85" s="134" t="s">
        <v>142</v>
      </c>
      <c r="D85" s="131" t="s">
        <v>59</v>
      </c>
      <c r="E85" s="135">
        <v>0</v>
      </c>
      <c r="F85" s="135">
        <v>5000</v>
      </c>
    </row>
    <row r="86" spans="2:6">
      <c r="B86" s="133" t="s">
        <v>77</v>
      </c>
      <c r="C86" s="134" t="s">
        <v>143</v>
      </c>
      <c r="D86" s="131" t="s">
        <v>59</v>
      </c>
      <c r="E86" s="135">
        <v>38248</v>
      </c>
      <c r="F86" s="135">
        <v>20007</v>
      </c>
    </row>
    <row r="87" spans="2:6">
      <c r="B87" s="129" t="s">
        <v>69</v>
      </c>
      <c r="C87" s="130" t="s">
        <v>144</v>
      </c>
      <c r="D87" s="131" t="s">
        <v>59</v>
      </c>
      <c r="E87" s="132">
        <f>E88+E89+E90+E91</f>
        <v>2115669.11</v>
      </c>
      <c r="F87" s="132">
        <f>F88+F89+F90+F91</f>
        <v>3733183.37</v>
      </c>
    </row>
    <row r="88" spans="2:6">
      <c r="B88" s="133" t="s">
        <v>61</v>
      </c>
      <c r="C88" s="137" t="s">
        <v>145</v>
      </c>
      <c r="D88" s="131" t="s">
        <v>59</v>
      </c>
      <c r="E88" s="135">
        <v>190512.5</v>
      </c>
      <c r="F88" s="135">
        <v>239444.24</v>
      </c>
    </row>
    <row r="89" spans="2:6">
      <c r="B89" s="133" t="s">
        <v>63</v>
      </c>
      <c r="C89" s="137" t="s">
        <v>146</v>
      </c>
      <c r="D89" s="131" t="s">
        <v>59</v>
      </c>
      <c r="E89" s="135">
        <v>1546809.64</v>
      </c>
      <c r="F89" s="136">
        <v>1457092.34</v>
      </c>
    </row>
    <row r="90" spans="2:6">
      <c r="B90" s="133" t="s">
        <v>65</v>
      </c>
      <c r="C90" s="137" t="s">
        <v>147</v>
      </c>
      <c r="D90" s="131" t="s">
        <v>59</v>
      </c>
      <c r="E90" s="135">
        <v>315567.86</v>
      </c>
      <c r="F90" s="136">
        <v>1677358.01</v>
      </c>
    </row>
    <row r="91" spans="2:6">
      <c r="B91" s="133" t="s">
        <v>67</v>
      </c>
      <c r="C91" s="137" t="s">
        <v>148</v>
      </c>
      <c r="D91" s="131" t="s">
        <v>59</v>
      </c>
      <c r="E91" s="138">
        <v>62779.11</v>
      </c>
      <c r="F91" s="139">
        <v>359288.78</v>
      </c>
    </row>
    <row r="92" spans="2:6">
      <c r="B92" s="129"/>
      <c r="C92" s="129" t="s">
        <v>149</v>
      </c>
      <c r="D92" s="131" t="s">
        <v>59</v>
      </c>
      <c r="E92" s="132">
        <f>E73+E87</f>
        <v>18588335.199999999</v>
      </c>
      <c r="F92" s="132">
        <f>F73+F87</f>
        <v>19683152.799999997</v>
      </c>
    </row>
    <row r="94" spans="2:6">
      <c r="B94" s="210" t="s">
        <v>150</v>
      </c>
      <c r="C94" s="211"/>
      <c r="D94" s="211"/>
      <c r="E94" s="211"/>
      <c r="F94" s="211"/>
    </row>
    <row r="95" spans="2:6">
      <c r="B95" s="140" t="s">
        <v>54</v>
      </c>
      <c r="C95" s="140" t="s">
        <v>55</v>
      </c>
      <c r="D95" s="141" t="s">
        <v>56</v>
      </c>
      <c r="E95" s="110">
        <v>2012</v>
      </c>
      <c r="F95" s="112">
        <v>2013</v>
      </c>
    </row>
    <row r="96" spans="2:6">
      <c r="B96" s="129" t="s">
        <v>57</v>
      </c>
      <c r="C96" s="142" t="s">
        <v>151</v>
      </c>
      <c r="D96" s="131" t="s">
        <v>59</v>
      </c>
      <c r="E96" s="132">
        <f>SUM(E97:E105)</f>
        <v>15234635.57</v>
      </c>
      <c r="F96" s="143">
        <f>SUM(F97:F105)</f>
        <v>15843571.289999999</v>
      </c>
    </row>
    <row r="97" spans="2:6">
      <c r="B97" s="133" t="s">
        <v>61</v>
      </c>
      <c r="C97" s="144" t="s">
        <v>152</v>
      </c>
      <c r="D97" s="131" t="s">
        <v>59</v>
      </c>
      <c r="E97" s="135">
        <v>13671000</v>
      </c>
      <c r="F97" s="136">
        <v>13671000</v>
      </c>
    </row>
    <row r="98" spans="2:6">
      <c r="B98" s="133" t="s">
        <v>63</v>
      </c>
      <c r="C98" s="144" t="s">
        <v>153</v>
      </c>
      <c r="D98" s="131" t="s">
        <v>59</v>
      </c>
      <c r="E98" s="135">
        <v>0</v>
      </c>
      <c r="F98" s="136">
        <v>0</v>
      </c>
    </row>
    <row r="99" spans="2:6">
      <c r="B99" s="133" t="s">
        <v>65</v>
      </c>
      <c r="C99" s="144" t="s">
        <v>154</v>
      </c>
      <c r="D99" s="131" t="s">
        <v>59</v>
      </c>
      <c r="E99" s="135">
        <v>0</v>
      </c>
      <c r="F99" s="136">
        <v>0</v>
      </c>
    </row>
    <row r="100" spans="2:6">
      <c r="B100" s="133" t="s">
        <v>67</v>
      </c>
      <c r="C100" s="144" t="s">
        <v>155</v>
      </c>
      <c r="D100" s="131" t="s">
        <v>59</v>
      </c>
      <c r="E100" s="135">
        <v>1418724.02</v>
      </c>
      <c r="F100" s="136">
        <v>1548724.02</v>
      </c>
    </row>
    <row r="101" spans="2:6">
      <c r="B101" s="133" t="s">
        <v>77</v>
      </c>
      <c r="C101" s="144" t="s">
        <v>156</v>
      </c>
      <c r="D101" s="131" t="s">
        <v>59</v>
      </c>
      <c r="E101" s="135">
        <v>0</v>
      </c>
      <c r="F101" s="136">
        <v>0</v>
      </c>
    </row>
    <row r="102" spans="2:6">
      <c r="B102" s="133" t="s">
        <v>79</v>
      </c>
      <c r="C102" s="144" t="s">
        <v>157</v>
      </c>
      <c r="D102" s="131" t="s">
        <v>59</v>
      </c>
      <c r="E102" s="135">
        <v>0</v>
      </c>
      <c r="F102" s="136">
        <v>0</v>
      </c>
    </row>
    <row r="103" spans="2:6">
      <c r="B103" s="133" t="s">
        <v>81</v>
      </c>
      <c r="C103" s="144" t="s">
        <v>158</v>
      </c>
      <c r="D103" s="131" t="s">
        <v>59</v>
      </c>
      <c r="E103" s="135">
        <v>0</v>
      </c>
      <c r="F103" s="136">
        <v>0</v>
      </c>
    </row>
    <row r="104" spans="2:6">
      <c r="B104" s="133" t="s">
        <v>83</v>
      </c>
      <c r="C104" s="144" t="s">
        <v>159</v>
      </c>
      <c r="D104" s="131" t="s">
        <v>59</v>
      </c>
      <c r="E104" s="135">
        <v>144911.54999999999</v>
      </c>
      <c r="F104" s="136">
        <v>623847.27</v>
      </c>
    </row>
    <row r="105" spans="2:6">
      <c r="B105" s="133" t="s">
        <v>160</v>
      </c>
      <c r="C105" s="144" t="s">
        <v>161</v>
      </c>
      <c r="D105" s="131" t="s">
        <v>59</v>
      </c>
      <c r="E105" s="135">
        <v>0</v>
      </c>
      <c r="F105" s="136">
        <v>0</v>
      </c>
    </row>
    <row r="106" spans="2:6">
      <c r="B106" s="129" t="s">
        <v>69</v>
      </c>
      <c r="C106" s="142" t="s">
        <v>162</v>
      </c>
      <c r="D106" s="131" t="s">
        <v>59</v>
      </c>
      <c r="E106" s="132">
        <f>E107+E108+E112+E123</f>
        <v>3358699.63</v>
      </c>
      <c r="F106" s="143">
        <f>F107+F108+F112+F123</f>
        <v>3839581.51</v>
      </c>
    </row>
    <row r="107" spans="2:6">
      <c r="B107" s="133" t="s">
        <v>61</v>
      </c>
      <c r="C107" s="144" t="s">
        <v>163</v>
      </c>
      <c r="D107" s="131" t="s">
        <v>59</v>
      </c>
      <c r="E107" s="135">
        <v>739</v>
      </c>
      <c r="F107" s="136">
        <v>678</v>
      </c>
    </row>
    <row r="108" spans="2:6">
      <c r="B108" s="133" t="s">
        <v>63</v>
      </c>
      <c r="C108" s="144" t="s">
        <v>164</v>
      </c>
      <c r="D108" s="131" t="s">
        <v>59</v>
      </c>
      <c r="E108" s="135">
        <f>E109+E110</f>
        <v>0</v>
      </c>
      <c r="F108" s="136">
        <f>F110+F109</f>
        <v>0</v>
      </c>
    </row>
    <row r="109" spans="2:6">
      <c r="B109" s="133" t="s">
        <v>130</v>
      </c>
      <c r="C109" s="144" t="s">
        <v>165</v>
      </c>
      <c r="D109" s="131" t="s">
        <v>59</v>
      </c>
      <c r="E109" s="135">
        <v>0</v>
      </c>
      <c r="F109" s="136">
        <v>0</v>
      </c>
    </row>
    <row r="110" spans="2:6">
      <c r="B110" s="133" t="s">
        <v>137</v>
      </c>
      <c r="C110" s="144" t="s">
        <v>166</v>
      </c>
      <c r="D110" s="131" t="s">
        <v>59</v>
      </c>
      <c r="E110" s="135">
        <f>E111</f>
        <v>0</v>
      </c>
      <c r="F110" s="136">
        <f>F111</f>
        <v>0</v>
      </c>
    </row>
    <row r="111" spans="2:6">
      <c r="B111" s="133"/>
      <c r="C111" s="144" t="s">
        <v>167</v>
      </c>
      <c r="D111" s="131" t="s">
        <v>59</v>
      </c>
      <c r="E111" s="135">
        <v>0</v>
      </c>
      <c r="F111" s="136">
        <v>0</v>
      </c>
    </row>
    <row r="112" spans="2:6">
      <c r="B112" s="133" t="s">
        <v>65</v>
      </c>
      <c r="C112" s="144" t="s">
        <v>168</v>
      </c>
      <c r="D112" s="131" t="s">
        <v>59</v>
      </c>
      <c r="E112" s="135">
        <f>E113+E114+E122</f>
        <v>2350896.9</v>
      </c>
      <c r="F112" s="136">
        <f>F113+F114+F122</f>
        <v>1984180.8099999998</v>
      </c>
    </row>
    <row r="113" spans="2:6">
      <c r="B113" s="133" t="s">
        <v>130</v>
      </c>
      <c r="C113" s="144" t="s">
        <v>165</v>
      </c>
      <c r="D113" s="131" t="s">
        <v>59</v>
      </c>
      <c r="E113" s="135">
        <v>0</v>
      </c>
      <c r="F113" s="136">
        <v>0</v>
      </c>
    </row>
    <row r="114" spans="2:6">
      <c r="B114" s="133" t="s">
        <v>137</v>
      </c>
      <c r="C114" s="144" t="s">
        <v>166</v>
      </c>
      <c r="D114" s="131" t="s">
        <v>59</v>
      </c>
      <c r="E114" s="135">
        <f>SUM(E115:E121)</f>
        <v>2269237.7799999998</v>
      </c>
      <c r="F114" s="136">
        <f>SUM(F115:F121)</f>
        <v>1905512.8399999999</v>
      </c>
    </row>
    <row r="115" spans="2:6">
      <c r="B115" s="133"/>
      <c r="C115" s="144" t="s">
        <v>167</v>
      </c>
      <c r="D115" s="131" t="s">
        <v>59</v>
      </c>
      <c r="E115" s="135">
        <v>446798.94</v>
      </c>
      <c r="F115" s="136">
        <v>0</v>
      </c>
    </row>
    <row r="116" spans="2:6">
      <c r="B116" s="133"/>
      <c r="C116" s="144" t="s">
        <v>169</v>
      </c>
      <c r="D116" s="131" t="s">
        <v>59</v>
      </c>
      <c r="E116" s="135">
        <v>898492.78</v>
      </c>
      <c r="F116" s="136">
        <v>746945.39</v>
      </c>
    </row>
    <row r="117" spans="2:6">
      <c r="B117" s="133"/>
      <c r="C117" s="144" t="s">
        <v>170</v>
      </c>
      <c r="D117" s="131" t="s">
        <v>59</v>
      </c>
      <c r="E117" s="135">
        <v>0</v>
      </c>
      <c r="F117" s="136">
        <v>0</v>
      </c>
    </row>
    <row r="118" spans="2:6">
      <c r="B118" s="133"/>
      <c r="C118" s="144" t="s">
        <v>171</v>
      </c>
      <c r="D118" s="131" t="s">
        <v>59</v>
      </c>
      <c r="E118" s="135">
        <v>0</v>
      </c>
      <c r="F118" s="136">
        <v>0</v>
      </c>
    </row>
    <row r="119" spans="2:6">
      <c r="B119" s="133"/>
      <c r="C119" s="144" t="s">
        <v>172</v>
      </c>
      <c r="D119" s="131" t="s">
        <v>59</v>
      </c>
      <c r="E119" s="135">
        <v>211793.93</v>
      </c>
      <c r="F119" s="136">
        <v>225256.14</v>
      </c>
    </row>
    <row r="120" spans="2:6">
      <c r="B120" s="133"/>
      <c r="C120" s="144" t="s">
        <v>173</v>
      </c>
      <c r="D120" s="131" t="s">
        <v>59</v>
      </c>
      <c r="E120" s="135">
        <v>91274.46</v>
      </c>
      <c r="F120" s="136">
        <v>100620.49</v>
      </c>
    </row>
    <row r="121" spans="2:6">
      <c r="B121" s="133"/>
      <c r="C121" s="144" t="s">
        <v>174</v>
      </c>
      <c r="D121" s="131" t="s">
        <v>59</v>
      </c>
      <c r="E121" s="135">
        <v>620877.67000000004</v>
      </c>
      <c r="F121" s="136">
        <v>832690.82</v>
      </c>
    </row>
    <row r="122" spans="2:6">
      <c r="B122" s="133" t="s">
        <v>139</v>
      </c>
      <c r="C122" s="144" t="s">
        <v>175</v>
      </c>
      <c r="D122" s="131" t="s">
        <v>59</v>
      </c>
      <c r="E122" s="135">
        <v>81659.12</v>
      </c>
      <c r="F122" s="136">
        <v>78667.97</v>
      </c>
    </row>
    <row r="123" spans="2:6">
      <c r="B123" s="133" t="s">
        <v>67</v>
      </c>
      <c r="C123" s="144" t="s">
        <v>176</v>
      </c>
      <c r="D123" s="131" t="s">
        <v>59</v>
      </c>
      <c r="E123" s="135">
        <v>1007063.73</v>
      </c>
      <c r="F123" s="136">
        <v>1854722.7</v>
      </c>
    </row>
    <row r="124" spans="2:6">
      <c r="B124" s="129"/>
      <c r="C124" s="129" t="s">
        <v>177</v>
      </c>
      <c r="D124" s="131" t="s">
        <v>59</v>
      </c>
      <c r="E124" s="143">
        <f>E96+E106</f>
        <v>18593335.199999999</v>
      </c>
      <c r="F124" s="143">
        <f>F96+F106</f>
        <v>19683152.799999997</v>
      </c>
    </row>
    <row r="125" spans="2:6">
      <c r="C125" s="191"/>
      <c r="D125" s="194"/>
      <c r="E125" s="172"/>
      <c r="F125" s="192"/>
    </row>
    <row r="126" spans="2:6">
      <c r="C126" s="191"/>
      <c r="D126" s="194"/>
      <c r="E126" s="172"/>
      <c r="F126" s="192"/>
    </row>
    <row r="127" spans="2:6">
      <c r="B127" s="145"/>
      <c r="C127" s="146" t="s">
        <v>178</v>
      </c>
      <c r="D127" s="145"/>
      <c r="E127" s="145"/>
      <c r="F127" s="145"/>
    </row>
    <row r="128" spans="2:6">
      <c r="B128" s="145"/>
      <c r="C128" s="146"/>
      <c r="D128" s="145"/>
      <c r="E128" s="145"/>
      <c r="F128" s="145"/>
    </row>
    <row r="129" spans="2:6">
      <c r="B129" s="145"/>
      <c r="C129" s="146" t="s">
        <v>247</v>
      </c>
      <c r="D129" s="145"/>
      <c r="E129" s="145"/>
      <c r="F129" s="145"/>
    </row>
    <row r="130" spans="2:6">
      <c r="B130" s="147" t="s">
        <v>179</v>
      </c>
      <c r="C130" s="147" t="s">
        <v>55</v>
      </c>
      <c r="D130" s="438"/>
      <c r="E130" s="110">
        <v>2012</v>
      </c>
      <c r="F130" s="112">
        <v>2013</v>
      </c>
    </row>
    <row r="131" spans="2:6">
      <c r="B131" s="148" t="s">
        <v>61</v>
      </c>
      <c r="C131" s="149" t="s">
        <v>180</v>
      </c>
      <c r="D131" s="439"/>
      <c r="E131" s="150"/>
      <c r="F131" s="150"/>
    </row>
    <row r="132" spans="2:6">
      <c r="B132" s="151" t="s">
        <v>130</v>
      </c>
      <c r="C132" s="152" t="s">
        <v>181</v>
      </c>
      <c r="D132" s="439"/>
      <c r="E132" s="153">
        <f>E67/E20</f>
        <v>3.8548707753479126</v>
      </c>
      <c r="F132" s="153">
        <f>F67/F20</f>
        <v>9.0312965722801781</v>
      </c>
    </row>
    <row r="133" spans="2:6">
      <c r="B133" s="151" t="s">
        <v>137</v>
      </c>
      <c r="C133" s="154" t="s">
        <v>182</v>
      </c>
      <c r="D133" s="439"/>
      <c r="E133" s="153">
        <f>E67/E96</f>
        <v>5.0910308713082004E-4</v>
      </c>
      <c r="F133" s="153">
        <f>F67/F96</f>
        <v>1.1474685642039991E-3</v>
      </c>
    </row>
    <row r="134" spans="2:6">
      <c r="B134" s="151" t="s">
        <v>139</v>
      </c>
      <c r="C134" s="154" t="s">
        <v>183</v>
      </c>
      <c r="D134" s="439"/>
      <c r="E134" s="153">
        <f>E67/E92</f>
        <v>4.1725092196529792E-4</v>
      </c>
      <c r="F134" s="153">
        <f>F67/F92</f>
        <v>9.2363251887167194E-4</v>
      </c>
    </row>
    <row r="135" spans="2:6">
      <c r="B135" s="148" t="s">
        <v>63</v>
      </c>
      <c r="C135" s="149" t="s">
        <v>184</v>
      </c>
      <c r="D135" s="439"/>
      <c r="E135" s="155"/>
      <c r="F135" s="155"/>
    </row>
    <row r="136" spans="2:6">
      <c r="B136" s="151" t="s">
        <v>130</v>
      </c>
      <c r="C136" s="154" t="s">
        <v>185</v>
      </c>
      <c r="D136" s="439"/>
      <c r="E136" s="155">
        <f>E87/E112</f>
        <v>0.89994125646258671</v>
      </c>
      <c r="F136" s="155">
        <f>F87/F112</f>
        <v>1.8814733774186641</v>
      </c>
    </row>
    <row r="137" spans="2:6">
      <c r="B137" s="151" t="s">
        <v>137</v>
      </c>
      <c r="C137" s="154" t="s">
        <v>186</v>
      </c>
      <c r="D137" s="439"/>
      <c r="E137" s="155">
        <f>(E87-E88)/E112</f>
        <v>0.81890303653894814</v>
      </c>
      <c r="F137" s="155">
        <f>(F87-F88)/F112</f>
        <v>1.7607967542030609</v>
      </c>
    </row>
    <row r="138" spans="2:6">
      <c r="B138" s="148" t="s">
        <v>65</v>
      </c>
      <c r="C138" s="149" t="s">
        <v>187</v>
      </c>
      <c r="D138" s="439"/>
      <c r="E138" s="155"/>
      <c r="F138" s="155"/>
    </row>
    <row r="139" spans="2:6">
      <c r="B139" s="151" t="s">
        <v>130</v>
      </c>
      <c r="C139" s="156" t="s">
        <v>188</v>
      </c>
      <c r="D139" s="439"/>
      <c r="E139" s="155">
        <f>E106/E92</f>
        <v>0.18068856591310017</v>
      </c>
      <c r="F139" s="155">
        <f>F106/F92</f>
        <v>0.19506943572576443</v>
      </c>
    </row>
    <row r="140" spans="2:6">
      <c r="B140" s="151" t="s">
        <v>137</v>
      </c>
      <c r="C140" s="156" t="s">
        <v>189</v>
      </c>
      <c r="D140" s="439"/>
      <c r="E140" s="155">
        <f>E106/E96</f>
        <v>0.22046471768671261</v>
      </c>
      <c r="F140" s="155">
        <f>F106/F96</f>
        <v>0.24234318385170089</v>
      </c>
    </row>
    <row r="141" spans="2:6">
      <c r="B141" s="148" t="s">
        <v>67</v>
      </c>
      <c r="C141" s="149" t="s">
        <v>190</v>
      </c>
      <c r="D141" s="439"/>
      <c r="E141" s="155"/>
      <c r="F141" s="155"/>
    </row>
    <row r="142" spans="2:6">
      <c r="B142" s="151" t="s">
        <v>130</v>
      </c>
      <c r="C142" s="156" t="s">
        <v>191</v>
      </c>
      <c r="D142" s="439"/>
      <c r="E142" s="155">
        <f>E88/E87</f>
        <v>9.0048344091009591E-2</v>
      </c>
      <c r="F142" s="155">
        <f>F88/F87</f>
        <v>6.4139426400584218E-2</v>
      </c>
    </row>
    <row r="143" spans="2:6">
      <c r="B143" s="151" t="s">
        <v>137</v>
      </c>
      <c r="C143" s="156" t="s">
        <v>192</v>
      </c>
      <c r="D143" s="439"/>
      <c r="E143" s="155">
        <f>E89/E87</f>
        <v>0.73112077530876274</v>
      </c>
      <c r="F143" s="155">
        <f>F89/F87</f>
        <v>0.39030826926671969</v>
      </c>
    </row>
    <row r="144" spans="2:6">
      <c r="B144" s="151" t="s">
        <v>139</v>
      </c>
      <c r="C144" s="156" t="s">
        <v>193</v>
      </c>
      <c r="D144" s="439"/>
      <c r="E144" s="155">
        <f>E90/E87</f>
        <v>0.14915747387359643</v>
      </c>
      <c r="F144" s="155">
        <f>F90/F87</f>
        <v>0.4493103723431619</v>
      </c>
    </row>
    <row r="145" spans="2:23">
      <c r="B145" s="157" t="s">
        <v>77</v>
      </c>
      <c r="C145" s="158" t="s">
        <v>194</v>
      </c>
      <c r="D145" s="201"/>
      <c r="E145" s="155"/>
      <c r="F145" s="155"/>
    </row>
    <row r="146" spans="2:23">
      <c r="B146" s="151" t="s">
        <v>130</v>
      </c>
      <c r="C146" s="156" t="s">
        <v>195</v>
      </c>
      <c r="D146" s="201"/>
      <c r="E146" s="160">
        <f>E88/(E20/365)</f>
        <v>34561.164264413521</v>
      </c>
      <c r="F146" s="160">
        <f>F88/(F20/365)</f>
        <v>43416.36741182315</v>
      </c>
    </row>
    <row r="147" spans="2:23">
      <c r="B147" s="151" t="s">
        <v>137</v>
      </c>
      <c r="C147" s="156" t="s">
        <v>196</v>
      </c>
      <c r="D147" s="201"/>
      <c r="E147" s="160">
        <f>E89/(E20/365)</f>
        <v>280609.10467196815</v>
      </c>
      <c r="F147" s="160">
        <f>F89/(F20/365)</f>
        <v>264202.03879781422</v>
      </c>
    </row>
    <row r="148" spans="2:23">
      <c r="B148" s="151" t="s">
        <v>139</v>
      </c>
      <c r="C148" s="156" t="s">
        <v>197</v>
      </c>
      <c r="D148" s="201"/>
      <c r="E148" s="160">
        <f>E116/(E20/365)</f>
        <v>162996.95064612327</v>
      </c>
      <c r="F148" s="160">
        <f>F116/(F20/365)</f>
        <v>135437.19192747143</v>
      </c>
    </row>
    <row r="152" spans="2:23">
      <c r="C152" s="149" t="s">
        <v>200</v>
      </c>
      <c r="D152" s="37"/>
      <c r="E152" s="113">
        <v>2012</v>
      </c>
      <c r="F152" s="113">
        <v>2013</v>
      </c>
      <c r="G152" s="37">
        <v>2014</v>
      </c>
      <c r="H152" s="164">
        <v>2015</v>
      </c>
      <c r="I152" s="164">
        <v>2016</v>
      </c>
      <c r="J152" s="164">
        <v>2017</v>
      </c>
      <c r="K152" s="164">
        <v>2018</v>
      </c>
      <c r="L152" s="164">
        <v>2019</v>
      </c>
      <c r="M152" s="164">
        <v>2020</v>
      </c>
      <c r="N152" s="164">
        <v>2021</v>
      </c>
      <c r="O152" s="164">
        <v>2022</v>
      </c>
      <c r="P152" s="164">
        <v>2023</v>
      </c>
      <c r="Q152" s="164">
        <v>2024</v>
      </c>
      <c r="R152" s="164">
        <v>2025</v>
      </c>
      <c r="S152" s="164">
        <v>2026</v>
      </c>
      <c r="T152" s="164">
        <v>2027</v>
      </c>
      <c r="U152" s="164">
        <v>2028</v>
      </c>
      <c r="V152" s="164">
        <v>2029</v>
      </c>
      <c r="W152" s="164">
        <v>2030</v>
      </c>
    </row>
    <row r="153" spans="2:23">
      <c r="C153" s="162" t="s">
        <v>206</v>
      </c>
      <c r="D153" s="37" t="s">
        <v>201</v>
      </c>
      <c r="E153" s="37"/>
      <c r="F153" s="37"/>
      <c r="G153" s="37"/>
      <c r="H153" s="37"/>
      <c r="I153" s="12">
        <v>4878.05</v>
      </c>
      <c r="J153" s="12">
        <v>4878.05</v>
      </c>
      <c r="K153" s="12">
        <v>4878.05</v>
      </c>
      <c r="L153" s="12">
        <v>4878.05</v>
      </c>
      <c r="M153" s="12">
        <v>4878.05</v>
      </c>
      <c r="N153" s="12">
        <v>4878.05</v>
      </c>
      <c r="O153" s="12">
        <v>4878.05</v>
      </c>
      <c r="P153" s="12">
        <v>4878.05</v>
      </c>
      <c r="Q153" s="12">
        <v>4878.05</v>
      </c>
      <c r="R153" s="12">
        <v>4878.05</v>
      </c>
      <c r="S153" s="12">
        <v>4878.05</v>
      </c>
      <c r="T153" s="12">
        <v>4878.05</v>
      </c>
      <c r="U153" s="12">
        <v>4878.05</v>
      </c>
      <c r="V153" s="12">
        <v>4878.05</v>
      </c>
      <c r="W153" s="12">
        <v>4878.05</v>
      </c>
    </row>
    <row r="154" spans="2:23">
      <c r="C154" s="162" t="s">
        <v>202</v>
      </c>
      <c r="D154" s="37"/>
      <c r="E154" s="37"/>
      <c r="F154" s="37"/>
      <c r="G154" s="37"/>
      <c r="H154" s="37"/>
      <c r="I154" s="12">
        <v>6000</v>
      </c>
      <c r="J154" s="12">
        <v>6000</v>
      </c>
      <c r="K154" s="12">
        <v>6000</v>
      </c>
      <c r="L154" s="12">
        <v>6000</v>
      </c>
      <c r="M154" s="12">
        <v>6000</v>
      </c>
      <c r="N154" s="12">
        <v>6000</v>
      </c>
      <c r="O154" s="12">
        <v>6000</v>
      </c>
      <c r="P154" s="12">
        <v>6000</v>
      </c>
      <c r="Q154" s="12">
        <v>6000</v>
      </c>
      <c r="R154" s="12">
        <v>6000</v>
      </c>
      <c r="S154" s="12">
        <v>6000</v>
      </c>
      <c r="T154" s="12">
        <v>6000</v>
      </c>
      <c r="U154" s="12">
        <v>6000</v>
      </c>
      <c r="V154" s="12">
        <v>6000</v>
      </c>
      <c r="W154" s="12">
        <v>6000</v>
      </c>
    </row>
  </sheetData>
  <mergeCells count="7">
    <mergeCell ref="D130:D144"/>
    <mergeCell ref="G19:W19"/>
    <mergeCell ref="D4:F4"/>
    <mergeCell ref="G4:I4"/>
    <mergeCell ref="J4:L4"/>
    <mergeCell ref="M4:N4"/>
    <mergeCell ref="E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zadania i plan płatności</vt:lpstr>
      <vt:lpstr>wykres Gantta</vt:lpstr>
      <vt:lpstr>ZUK Gizycko</vt:lpstr>
      <vt:lpstr>MEC Mrągowo</vt:lpstr>
      <vt:lpstr>ZUK Orzysz</vt:lpstr>
      <vt:lpstr>ZUK Węgorzewo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2014-11-19T14:46:01Z</cp:lastPrinted>
  <dcterms:created xsi:type="dcterms:W3CDTF">2014-11-10T07:01:14Z</dcterms:created>
  <dcterms:modified xsi:type="dcterms:W3CDTF">2014-11-21T09:18:41Z</dcterms:modified>
</cp:coreProperties>
</file>